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60" yWindow="180" windowWidth="11685" windowHeight="9735" tabRatio="638"/>
  </bookViews>
  <sheets>
    <sheet name="Results + Standings" sheetId="1" r:id="rId1"/>
    <sheet name="Canterbury" sheetId="4" r:id="rId2"/>
    <sheet name="Southern" sheetId="5" r:id="rId3"/>
    <sheet name="Auckland" sheetId="2" r:id="rId4"/>
    <sheet name="Players Stats " sheetId="7" r:id="rId5"/>
    <sheet name="Goalie Stats" sheetId="9" r:id="rId6"/>
  </sheets>
  <definedNames>
    <definedName name="_xlnm._FilterDatabase" localSheetId="5" hidden="1">'Goalie Stats'!$A$17:$O$17</definedName>
    <definedName name="_xlnm._FilterDatabase" localSheetId="4" hidden="1">'Players Stats '!$A$15:$K$79</definedName>
    <definedName name="_xlnm._FilterDatabase" localSheetId="0" hidden="1">'Results + Standings'!$B$2:$J$25</definedName>
    <definedName name="WadeBSW">Auckland!$A$4:$N$4</definedName>
    <definedName name="WadedEBSW">Auckland!$A$4:$N$4</definedName>
  </definedNames>
  <calcPr calcId="125725"/>
</workbook>
</file>

<file path=xl/calcChain.xml><?xml version="1.0" encoding="utf-8"?>
<calcChain xmlns="http://schemas.openxmlformats.org/spreadsheetml/2006/main">
  <c r="Q30" i="5"/>
  <c r="R29" i="2"/>
  <c r="N32"/>
  <c r="N29"/>
  <c r="G29"/>
  <c r="F29"/>
  <c r="G30" i="5"/>
  <c r="S5" i="1"/>
  <c r="Q4"/>
  <c r="M5"/>
  <c r="M4"/>
  <c r="F30" i="5"/>
  <c r="N30"/>
  <c r="P16"/>
  <c r="P9"/>
  <c r="O11"/>
  <c r="G16"/>
  <c r="G9"/>
  <c r="F11"/>
  <c r="G21"/>
  <c r="G10"/>
  <c r="F9"/>
  <c r="J10" i="2"/>
  <c r="J6"/>
  <c r="G18"/>
  <c r="G16"/>
  <c r="F21"/>
  <c r="J16" i="5"/>
  <c r="J18"/>
  <c r="G7"/>
  <c r="F21"/>
  <c r="J14" i="2"/>
  <c r="G8"/>
  <c r="G21"/>
  <c r="F14"/>
  <c r="E20" i="5"/>
  <c r="E18"/>
  <c r="E17"/>
  <c r="E16"/>
  <c r="E6"/>
  <c r="E21"/>
  <c r="E24"/>
  <c r="E13"/>
  <c r="E12"/>
  <c r="E11"/>
  <c r="E10"/>
  <c r="E9"/>
  <c r="E8"/>
  <c r="E7"/>
  <c r="E4"/>
  <c r="E30"/>
  <c r="E29"/>
  <c r="E12" i="2"/>
  <c r="E10"/>
  <c r="E22"/>
  <c r="E21"/>
  <c r="E20"/>
  <c r="E9"/>
  <c r="E19"/>
  <c r="E18"/>
  <c r="E8"/>
  <c r="E17"/>
  <c r="E7"/>
  <c r="E6"/>
  <c r="E16"/>
  <c r="E24"/>
  <c r="E5"/>
  <c r="E4"/>
  <c r="E14"/>
  <c r="E13"/>
  <c r="E30"/>
  <c r="E29"/>
  <c r="G30" l="1"/>
  <c r="F30"/>
  <c r="N30"/>
  <c r="L17"/>
  <c r="J17"/>
  <c r="J25"/>
  <c r="J7"/>
  <c r="P10"/>
  <c r="P18"/>
  <c r="O14"/>
  <c r="G10"/>
  <c r="P14"/>
  <c r="P7"/>
  <c r="O8"/>
  <c r="G14"/>
  <c r="G7"/>
  <c r="F8"/>
  <c r="O7"/>
  <c r="F7"/>
  <c r="Q14"/>
  <c r="S6" i="1"/>
  <c r="Q5"/>
  <c r="M6"/>
  <c r="N34" i="4"/>
  <c r="G34"/>
  <c r="F34"/>
  <c r="J29"/>
  <c r="J8"/>
  <c r="L11"/>
  <c r="J11"/>
  <c r="J14"/>
  <c r="F21"/>
  <c r="G4"/>
  <c r="G14"/>
  <c r="G8"/>
  <c r="E34"/>
  <c r="E33"/>
  <c r="E21"/>
  <c r="E18"/>
  <c r="E17"/>
  <c r="E22"/>
  <c r="E16"/>
  <c r="E23"/>
  <c r="E15"/>
  <c r="E14"/>
  <c r="E13"/>
  <c r="E11"/>
  <c r="E9"/>
  <c r="E8"/>
  <c r="E7"/>
  <c r="E5"/>
  <c r="E4"/>
  <c r="G33" l="1"/>
  <c r="F33"/>
  <c r="N33"/>
  <c r="J9"/>
  <c r="J16"/>
  <c r="J21"/>
  <c r="F18"/>
  <c r="G9"/>
  <c r="G21"/>
  <c r="F13"/>
  <c r="F16"/>
  <c r="G18"/>
  <c r="G17"/>
  <c r="E10"/>
  <c r="Q29" i="5"/>
  <c r="G29"/>
  <c r="F29"/>
  <c r="N29"/>
  <c r="L16"/>
  <c r="J9"/>
  <c r="F12"/>
  <c r="F16"/>
  <c r="G11"/>
  <c r="F10"/>
  <c r="P11"/>
  <c r="O8"/>
  <c r="F8"/>
  <c r="P10"/>
  <c r="E68" i="7" l="1"/>
  <c r="F68"/>
  <c r="G68"/>
  <c r="J68"/>
  <c r="A68"/>
  <c r="B68"/>
  <c r="C68"/>
  <c r="D68"/>
  <c r="J8" i="2" l="1"/>
  <c r="F10"/>
  <c r="P5"/>
  <c r="G5"/>
  <c r="J21" i="5"/>
  <c r="L9"/>
  <c r="L10"/>
  <c r="J10"/>
  <c r="G18"/>
  <c r="F18"/>
  <c r="G12"/>
  <c r="J25" l="1"/>
  <c r="O21"/>
  <c r="O10"/>
  <c r="P21"/>
  <c r="O16"/>
  <c r="Q11"/>
  <c r="J18" i="4"/>
  <c r="G13"/>
  <c r="G16"/>
  <c r="F17"/>
  <c r="P9"/>
  <c r="O18"/>
  <c r="F11"/>
  <c r="R33"/>
  <c r="R34"/>
  <c r="L18"/>
  <c r="Q30" i="2"/>
  <c r="Q29"/>
  <c r="J18"/>
  <c r="F18"/>
  <c r="O18"/>
  <c r="R5"/>
  <c r="R18"/>
  <c r="Q16"/>
  <c r="F16"/>
  <c r="U6" i="1"/>
  <c r="R6"/>
  <c r="R5"/>
  <c r="T5"/>
  <c r="J5" i="2"/>
  <c r="R7"/>
  <c r="G17"/>
  <c r="F17"/>
  <c r="O11" i="4"/>
  <c r="L14" i="2"/>
  <c r="G24"/>
  <c r="G12"/>
  <c r="P16"/>
  <c r="J7" i="5" l="1"/>
  <c r="L11"/>
  <c r="J12"/>
  <c r="F13"/>
  <c r="F5"/>
  <c r="E5"/>
  <c r="E19"/>
  <c r="J10" i="4"/>
  <c r="J6"/>
  <c r="P21"/>
  <c r="O21"/>
  <c r="E6"/>
  <c r="F7" i="5"/>
  <c r="G6" i="4"/>
  <c r="E19"/>
  <c r="O33" l="1"/>
  <c r="G5" i="5" l="1"/>
  <c r="F19"/>
  <c r="H29"/>
  <c r="S30" i="2"/>
  <c r="J21"/>
  <c r="P21"/>
  <c r="F23"/>
  <c r="G13"/>
  <c r="F4"/>
  <c r="E23"/>
  <c r="J5" i="5"/>
  <c r="S4" i="1"/>
  <c r="J23" i="2"/>
  <c r="A78" i="7" l="1"/>
  <c r="B78"/>
  <c r="C78"/>
  <c r="D78"/>
  <c r="E78"/>
  <c r="F78"/>
  <c r="G78"/>
  <c r="J78"/>
  <c r="A79"/>
  <c r="B79"/>
  <c r="C79"/>
  <c r="D79"/>
  <c r="E79"/>
  <c r="F79"/>
  <c r="G79"/>
  <c r="J79"/>
  <c r="A58"/>
  <c r="B58"/>
  <c r="C58"/>
  <c r="D58"/>
  <c r="E58"/>
  <c r="F58"/>
  <c r="G58"/>
  <c r="J58"/>
  <c r="A18"/>
  <c r="B18"/>
  <c r="C18"/>
  <c r="D18"/>
  <c r="E18"/>
  <c r="F18"/>
  <c r="G18"/>
  <c r="J18"/>
  <c r="J77"/>
  <c r="G77"/>
  <c r="F77"/>
  <c r="E77"/>
  <c r="D77"/>
  <c r="A77"/>
  <c r="B77"/>
  <c r="C77"/>
  <c r="G23" i="2"/>
  <c r="O23"/>
  <c r="F33" i="5"/>
  <c r="R29"/>
  <c r="R30"/>
  <c r="J11"/>
  <c r="Q18" i="2"/>
  <c r="Q16" i="5"/>
  <c r="H29" i="2"/>
  <c r="J4"/>
  <c r="G20"/>
  <c r="G9"/>
  <c r="F13"/>
  <c r="G4"/>
  <c r="J17" i="4"/>
  <c r="G15"/>
  <c r="F8"/>
  <c r="E20"/>
  <c r="E12"/>
  <c r="O29" i="2"/>
  <c r="G7" i="4"/>
  <c r="R7"/>
  <c r="Q17"/>
  <c r="G8" i="5" l="1"/>
  <c r="O34" i="4"/>
  <c r="J15"/>
  <c r="J20" i="5"/>
  <c r="H20" i="4" l="1"/>
  <c r="I20"/>
  <c r="H26"/>
  <c r="H77" i="7" s="1"/>
  <c r="I26" i="4"/>
  <c r="I77" i="7" s="1"/>
  <c r="H33" i="4"/>
  <c r="H20" i="5"/>
  <c r="H58" i="7" s="1"/>
  <c r="I20" i="5"/>
  <c r="I58" i="7" s="1"/>
  <c r="H21" i="5"/>
  <c r="H18" i="7" s="1"/>
  <c r="I21" i="5"/>
  <c r="I18" i="7" s="1"/>
  <c r="H22" i="5"/>
  <c r="H78" i="7" s="1"/>
  <c r="I22" i="5"/>
  <c r="I78" i="7" s="1"/>
  <c r="H23" i="5"/>
  <c r="H79" i="7" s="1"/>
  <c r="I23" i="5"/>
  <c r="I79" i="7" s="1"/>
  <c r="H24" i="5"/>
  <c r="H68" i="7" s="1"/>
  <c r="I24" i="5"/>
  <c r="I68" i="7" s="1"/>
  <c r="O30" i="5"/>
  <c r="V5" i="1"/>
  <c r="V4"/>
  <c r="V6"/>
  <c r="A19" i="9" l="1"/>
  <c r="B19"/>
  <c r="C19"/>
  <c r="A25"/>
  <c r="B25"/>
  <c r="C25"/>
  <c r="A23"/>
  <c r="B23"/>
  <c r="C23"/>
  <c r="A26"/>
  <c r="B26"/>
  <c r="C26"/>
  <c r="A20"/>
  <c r="B20"/>
  <c r="C20"/>
  <c r="A24"/>
  <c r="B24"/>
  <c r="C24"/>
  <c r="A18"/>
  <c r="B18"/>
  <c r="C18"/>
  <c r="A21"/>
  <c r="B21"/>
  <c r="C21"/>
  <c r="A22"/>
  <c r="B22"/>
  <c r="C22"/>
  <c r="O4" i="1" l="1"/>
  <c r="N4"/>
  <c r="O6"/>
  <c r="N6"/>
  <c r="O5"/>
  <c r="N5"/>
  <c r="H30" i="5" l="1"/>
  <c r="V32" l="1"/>
  <c r="N33"/>
  <c r="V31"/>
  <c r="H34" i="4" l="1"/>
  <c r="G18" i="9" l="1"/>
  <c r="I18"/>
  <c r="J18"/>
  <c r="L18"/>
  <c r="M18"/>
  <c r="N18"/>
  <c r="D18"/>
  <c r="K18"/>
  <c r="H18"/>
  <c r="F18"/>
  <c r="E18"/>
  <c r="I25" i="5"/>
  <c r="H30" i="2" l="1"/>
  <c r="G19" i="9" s="1"/>
  <c r="V32" i="2"/>
  <c r="E67" i="7"/>
  <c r="E35"/>
  <c r="E73"/>
  <c r="E21"/>
  <c r="G26"/>
  <c r="H9" i="4"/>
  <c r="H47" i="7" s="1"/>
  <c r="F33"/>
  <c r="F26"/>
  <c r="F25" i="9"/>
  <c r="E47" i="7"/>
  <c r="E51"/>
  <c r="E71"/>
  <c r="E33"/>
  <c r="E50"/>
  <c r="E56"/>
  <c r="E40"/>
  <c r="E70"/>
  <c r="M25" i="9"/>
  <c r="F24" i="7"/>
  <c r="H28" i="4"/>
  <c r="G60" i="7"/>
  <c r="F69"/>
  <c r="G70"/>
  <c r="E61"/>
  <c r="D25" i="9"/>
  <c r="G46" i="7"/>
  <c r="G19"/>
  <c r="F28"/>
  <c r="E46"/>
  <c r="V30" i="5"/>
  <c r="O18" i="9" s="1"/>
  <c r="F29" i="7"/>
  <c r="G26" i="9"/>
  <c r="E32" i="7"/>
  <c r="E30"/>
  <c r="E27"/>
  <c r="E59"/>
  <c r="E42"/>
  <c r="U36" i="4"/>
  <c r="L25" i="9"/>
  <c r="E25"/>
  <c r="I9" i="4"/>
  <c r="I24"/>
  <c r="E36" i="7"/>
  <c r="G25"/>
  <c r="G69"/>
  <c r="G40"/>
  <c r="E43"/>
  <c r="E25"/>
  <c r="E26"/>
  <c r="E23" i="9"/>
  <c r="F20" i="7"/>
  <c r="M23" i="9"/>
  <c r="E37" i="7"/>
  <c r="G57"/>
  <c r="F34"/>
  <c r="E49"/>
  <c r="E34"/>
  <c r="E17"/>
  <c r="E74"/>
  <c r="E72"/>
  <c r="E20"/>
  <c r="E65"/>
  <c r="E31"/>
  <c r="G51"/>
  <c r="F25"/>
  <c r="E45"/>
  <c r="G24"/>
  <c r="A76"/>
  <c r="B76"/>
  <c r="C76"/>
  <c r="D76"/>
  <c r="E76"/>
  <c r="F76"/>
  <c r="G76"/>
  <c r="J76"/>
  <c r="I9" i="5"/>
  <c r="I20" i="7" s="1"/>
  <c r="P26" i="5"/>
  <c r="O26"/>
  <c r="F57" i="7"/>
  <c r="F16"/>
  <c r="G16"/>
  <c r="R26" i="5"/>
  <c r="G22" i="7"/>
  <c r="D24" i="9"/>
  <c r="E24"/>
  <c r="F24"/>
  <c r="H24"/>
  <c r="J24"/>
  <c r="K24"/>
  <c r="L24"/>
  <c r="M24"/>
  <c r="N24"/>
  <c r="D23"/>
  <c r="F23"/>
  <c r="H23"/>
  <c r="J23"/>
  <c r="L23"/>
  <c r="K23"/>
  <c r="N23"/>
  <c r="H25"/>
  <c r="J25"/>
  <c r="K25"/>
  <c r="N25"/>
  <c r="D22"/>
  <c r="E22"/>
  <c r="F22"/>
  <c r="H22"/>
  <c r="J22"/>
  <c r="K22"/>
  <c r="L22"/>
  <c r="M22"/>
  <c r="N22"/>
  <c r="D26"/>
  <c r="E26"/>
  <c r="F26"/>
  <c r="H26"/>
  <c r="J26"/>
  <c r="K26"/>
  <c r="L26"/>
  <c r="M26"/>
  <c r="N26"/>
  <c r="A31" i="7"/>
  <c r="B31"/>
  <c r="C31"/>
  <c r="D31"/>
  <c r="F31"/>
  <c r="G31"/>
  <c r="J31"/>
  <c r="A65"/>
  <c r="B65"/>
  <c r="C65"/>
  <c r="D65"/>
  <c r="F65"/>
  <c r="G65"/>
  <c r="J65"/>
  <c r="A38"/>
  <c r="B38"/>
  <c r="C38"/>
  <c r="D38"/>
  <c r="E38"/>
  <c r="F38"/>
  <c r="G38"/>
  <c r="J38"/>
  <c r="A44"/>
  <c r="B44"/>
  <c r="C44"/>
  <c r="D44"/>
  <c r="E44"/>
  <c r="F44"/>
  <c r="G44"/>
  <c r="J44"/>
  <c r="A20"/>
  <c r="B20"/>
  <c r="C20"/>
  <c r="D20"/>
  <c r="G20"/>
  <c r="J20"/>
  <c r="A22"/>
  <c r="B22"/>
  <c r="C22"/>
  <c r="D22"/>
  <c r="E22"/>
  <c r="F22"/>
  <c r="J22"/>
  <c r="A16"/>
  <c r="B16"/>
  <c r="C16"/>
  <c r="D16"/>
  <c r="E16"/>
  <c r="J16"/>
  <c r="A37"/>
  <c r="B37"/>
  <c r="C37"/>
  <c r="D37"/>
  <c r="F37"/>
  <c r="G37"/>
  <c r="J37"/>
  <c r="A48"/>
  <c r="B48"/>
  <c r="C48"/>
  <c r="D48"/>
  <c r="E48"/>
  <c r="F48"/>
  <c r="G48"/>
  <c r="J48"/>
  <c r="A72"/>
  <c r="B72"/>
  <c r="C72"/>
  <c r="D72"/>
  <c r="F72"/>
  <c r="G72"/>
  <c r="J72"/>
  <c r="A74"/>
  <c r="B74"/>
  <c r="C74"/>
  <c r="D74"/>
  <c r="F74"/>
  <c r="G74"/>
  <c r="J74"/>
  <c r="A17"/>
  <c r="B17"/>
  <c r="C17"/>
  <c r="D17"/>
  <c r="F17"/>
  <c r="G17"/>
  <c r="J17"/>
  <c r="A57"/>
  <c r="B57"/>
  <c r="C57"/>
  <c r="D57"/>
  <c r="E57"/>
  <c r="J57"/>
  <c r="A34"/>
  <c r="B34"/>
  <c r="C34"/>
  <c r="D34"/>
  <c r="G34"/>
  <c r="J34"/>
  <c r="A49"/>
  <c r="B49"/>
  <c r="C49"/>
  <c r="D49"/>
  <c r="F49"/>
  <c r="G49"/>
  <c r="J49"/>
  <c r="A61"/>
  <c r="B61"/>
  <c r="C61"/>
  <c r="D61"/>
  <c r="F61"/>
  <c r="G61"/>
  <c r="J61"/>
  <c r="A56"/>
  <c r="B56"/>
  <c r="C56"/>
  <c r="D56"/>
  <c r="F56"/>
  <c r="G56"/>
  <c r="J56"/>
  <c r="A51"/>
  <c r="B51"/>
  <c r="C51"/>
  <c r="D51"/>
  <c r="F51"/>
  <c r="J51"/>
  <c r="A43"/>
  <c r="B43"/>
  <c r="C43"/>
  <c r="D43"/>
  <c r="F43"/>
  <c r="G43"/>
  <c r="J43"/>
  <c r="A47"/>
  <c r="B47"/>
  <c r="C47"/>
  <c r="D47"/>
  <c r="F47"/>
  <c r="J47"/>
  <c r="A63"/>
  <c r="B63"/>
  <c r="C63"/>
  <c r="D63"/>
  <c r="E63"/>
  <c r="F63"/>
  <c r="G63"/>
  <c r="J63"/>
  <c r="A36"/>
  <c r="B36"/>
  <c r="C36"/>
  <c r="D36"/>
  <c r="F36"/>
  <c r="G36"/>
  <c r="J36"/>
  <c r="A70"/>
  <c r="B70"/>
  <c r="C70"/>
  <c r="D70"/>
  <c r="F70"/>
  <c r="J70"/>
  <c r="A40"/>
  <c r="B40"/>
  <c r="C40"/>
  <c r="D40"/>
  <c r="F40"/>
  <c r="J40"/>
  <c r="A45"/>
  <c r="B45"/>
  <c r="C45"/>
  <c r="D45"/>
  <c r="F45"/>
  <c r="G45"/>
  <c r="J45"/>
  <c r="A50"/>
  <c r="B50"/>
  <c r="C50"/>
  <c r="D50"/>
  <c r="F50"/>
  <c r="G50"/>
  <c r="J50"/>
  <c r="A24"/>
  <c r="B24"/>
  <c r="C24"/>
  <c r="D24"/>
  <c r="E24"/>
  <c r="J24"/>
  <c r="A33"/>
  <c r="B33"/>
  <c r="C33"/>
  <c r="D33"/>
  <c r="J33"/>
  <c r="A26"/>
  <c r="B26"/>
  <c r="C26"/>
  <c r="D26"/>
  <c r="J26"/>
  <c r="A71"/>
  <c r="B71"/>
  <c r="C71"/>
  <c r="D71"/>
  <c r="F71"/>
  <c r="G71"/>
  <c r="J71"/>
  <c r="A69"/>
  <c r="B69"/>
  <c r="C69"/>
  <c r="D69"/>
  <c r="E69"/>
  <c r="J69"/>
  <c r="A25"/>
  <c r="B25"/>
  <c r="C25"/>
  <c r="D25"/>
  <c r="J25"/>
  <c r="A64"/>
  <c r="B64"/>
  <c r="C64"/>
  <c r="D64"/>
  <c r="E64"/>
  <c r="F64"/>
  <c r="G64"/>
  <c r="J64"/>
  <c r="A60"/>
  <c r="B60"/>
  <c r="C60"/>
  <c r="D60"/>
  <c r="E60"/>
  <c r="F60"/>
  <c r="J60"/>
  <c r="A42"/>
  <c r="B42"/>
  <c r="C42"/>
  <c r="D42"/>
  <c r="F42"/>
  <c r="G42"/>
  <c r="J42"/>
  <c r="A59"/>
  <c r="B59"/>
  <c r="C59"/>
  <c r="D59"/>
  <c r="F59"/>
  <c r="G59"/>
  <c r="J59"/>
  <c r="A27"/>
  <c r="B27"/>
  <c r="C27"/>
  <c r="D27"/>
  <c r="F27"/>
  <c r="G27"/>
  <c r="J27"/>
  <c r="A30"/>
  <c r="B30"/>
  <c r="C30"/>
  <c r="D30"/>
  <c r="F30"/>
  <c r="G30"/>
  <c r="J30"/>
  <c r="A53"/>
  <c r="B53"/>
  <c r="C53"/>
  <c r="D53"/>
  <c r="E53"/>
  <c r="F53"/>
  <c r="G53"/>
  <c r="J53"/>
  <c r="A32"/>
  <c r="B32"/>
  <c r="C32"/>
  <c r="D32"/>
  <c r="F32"/>
  <c r="G32"/>
  <c r="J32"/>
  <c r="A75"/>
  <c r="B75"/>
  <c r="C75"/>
  <c r="D75"/>
  <c r="E75"/>
  <c r="F75"/>
  <c r="G75"/>
  <c r="J75"/>
  <c r="A54"/>
  <c r="B54"/>
  <c r="C54"/>
  <c r="D54"/>
  <c r="E54"/>
  <c r="F54"/>
  <c r="G54"/>
  <c r="J54"/>
  <c r="A39"/>
  <c r="B39"/>
  <c r="C39"/>
  <c r="D39"/>
  <c r="E39"/>
  <c r="F39"/>
  <c r="G39"/>
  <c r="J39"/>
  <c r="A21"/>
  <c r="B21"/>
  <c r="C21"/>
  <c r="D21"/>
  <c r="F21"/>
  <c r="G21"/>
  <c r="J21"/>
  <c r="A73"/>
  <c r="B73"/>
  <c r="C73"/>
  <c r="D73"/>
  <c r="F73"/>
  <c r="G73"/>
  <c r="J73"/>
  <c r="A28"/>
  <c r="B28"/>
  <c r="C28"/>
  <c r="D28"/>
  <c r="E28"/>
  <c r="G28"/>
  <c r="J28"/>
  <c r="A35"/>
  <c r="B35"/>
  <c r="C35"/>
  <c r="D35"/>
  <c r="F35"/>
  <c r="G35"/>
  <c r="J35"/>
  <c r="A19"/>
  <c r="B19"/>
  <c r="C19"/>
  <c r="D19"/>
  <c r="E19"/>
  <c r="F19"/>
  <c r="J19"/>
  <c r="A66"/>
  <c r="B66"/>
  <c r="C66"/>
  <c r="D66"/>
  <c r="E66"/>
  <c r="F66"/>
  <c r="G66"/>
  <c r="J66"/>
  <c r="A46"/>
  <c r="B46"/>
  <c r="C46"/>
  <c r="D46"/>
  <c r="F46"/>
  <c r="J46"/>
  <c r="A23"/>
  <c r="B23"/>
  <c r="C23"/>
  <c r="D23"/>
  <c r="E23"/>
  <c r="F23"/>
  <c r="G23"/>
  <c r="J23"/>
  <c r="A67"/>
  <c r="B67"/>
  <c r="C67"/>
  <c r="D67"/>
  <c r="F67"/>
  <c r="G67"/>
  <c r="J67"/>
  <c r="A29"/>
  <c r="B29"/>
  <c r="C29"/>
  <c r="D29"/>
  <c r="E29"/>
  <c r="G29"/>
  <c r="J29"/>
  <c r="A55"/>
  <c r="B55"/>
  <c r="C55"/>
  <c r="D55"/>
  <c r="E55"/>
  <c r="F55"/>
  <c r="G55"/>
  <c r="J55"/>
  <c r="H12" i="2"/>
  <c r="Q26" i="5"/>
  <c r="K26" i="2"/>
  <c r="I26" i="9"/>
  <c r="H7" i="5"/>
  <c r="H38" i="7" s="1"/>
  <c r="I7" i="5"/>
  <c r="I38" i="7" s="1"/>
  <c r="H5" i="5"/>
  <c r="H31" i="7" s="1"/>
  <c r="I5" i="5"/>
  <c r="I31" i="7" s="1"/>
  <c r="I22" i="9"/>
  <c r="I34" i="4"/>
  <c r="G22" i="9"/>
  <c r="H10" i="4"/>
  <c r="I10"/>
  <c r="V31" i="2"/>
  <c r="O26" i="9" s="1"/>
  <c r="G30" i="4" l="1"/>
  <c r="G47" i="7"/>
  <c r="F30" i="4"/>
  <c r="G33" i="7"/>
  <c r="N37" i="4"/>
  <c r="H24"/>
  <c r="U34"/>
  <c r="O22" i="9" s="1"/>
  <c r="H9" i="5"/>
  <c r="H20" i="7" s="1"/>
  <c r="I47"/>
  <c r="F19" i="9"/>
  <c r="E19"/>
  <c r="I24" i="2"/>
  <c r="H24"/>
  <c r="H20"/>
  <c r="R33" i="5"/>
  <c r="G23" i="9"/>
  <c r="I4" i="5"/>
  <c r="I8"/>
  <c r="I44" i="7" s="1"/>
  <c r="V29" i="2"/>
  <c r="I11"/>
  <c r="H13" i="5"/>
  <c r="H48" i="7" s="1"/>
  <c r="D20" i="9"/>
  <c r="H19" i="5"/>
  <c r="H49" i="7" s="1"/>
  <c r="H12" i="5"/>
  <c r="H37" i="7" s="1"/>
  <c r="I13" i="2"/>
  <c r="I6"/>
  <c r="F37" i="4"/>
  <c r="I15" i="5"/>
  <c r="I74" i="7" s="1"/>
  <c r="I18" i="5"/>
  <c r="M30" i="4"/>
  <c r="Q26" i="2"/>
  <c r="O26"/>
  <c r="I12"/>
  <c r="I25"/>
  <c r="I21"/>
  <c r="P15" i="1"/>
  <c r="K19" i="9"/>
  <c r="Q33" i="2"/>
  <c r="G24" i="9"/>
  <c r="F20"/>
  <c r="I12" i="4"/>
  <c r="G37"/>
  <c r="Q30"/>
  <c r="H16"/>
  <c r="I23"/>
  <c r="D21" i="9"/>
  <c r="V29" i="5"/>
  <c r="V33" s="1"/>
  <c r="A62" i="7"/>
  <c r="B62"/>
  <c r="C62"/>
  <c r="D62"/>
  <c r="F62"/>
  <c r="J62"/>
  <c r="P18" i="1"/>
  <c r="M15"/>
  <c r="O15"/>
  <c r="L19"/>
  <c r="M19"/>
  <c r="O19"/>
  <c r="U19"/>
  <c r="L13"/>
  <c r="M13"/>
  <c r="N13"/>
  <c r="O13"/>
  <c r="U13"/>
  <c r="I22" i="2"/>
  <c r="H18"/>
  <c r="E21" i="9"/>
  <c r="O25"/>
  <c r="Q18" i="1"/>
  <c r="P17"/>
  <c r="V30" i="2"/>
  <c r="O19" i="9" s="1"/>
  <c r="I5" i="2"/>
  <c r="L26"/>
  <c r="I14"/>
  <c r="P26"/>
  <c r="L19" i="9"/>
  <c r="L20"/>
  <c r="H19"/>
  <c r="I15" i="2"/>
  <c r="P11" i="1"/>
  <c r="E62" i="7"/>
  <c r="I31" i="2"/>
  <c r="I30"/>
  <c r="I29"/>
  <c r="H14"/>
  <c r="I17"/>
  <c r="I4"/>
  <c r="I18"/>
  <c r="I20"/>
  <c r="I10"/>
  <c r="I23"/>
  <c r="I54" i="7" s="1"/>
  <c r="I16" i="2"/>
  <c r="I39" i="7" s="1"/>
  <c r="I8" i="2"/>
  <c r="I19"/>
  <c r="F21" i="9"/>
  <c r="H21"/>
  <c r="J21"/>
  <c r="K21"/>
  <c r="M21"/>
  <c r="N21"/>
  <c r="K24" i="1"/>
  <c r="L24"/>
  <c r="M24"/>
  <c r="J19" i="9"/>
  <c r="M19"/>
  <c r="N19"/>
  <c r="E20"/>
  <c r="H20"/>
  <c r="R23" i="1" s="1"/>
  <c r="J20" i="9"/>
  <c r="T23" i="1" s="1"/>
  <c r="K20" i="9"/>
  <c r="M20"/>
  <c r="W25" i="1" s="1"/>
  <c r="N20" i="9"/>
  <c r="A52" i="7"/>
  <c r="B52"/>
  <c r="C52"/>
  <c r="D52"/>
  <c r="E52"/>
  <c r="F52"/>
  <c r="G52"/>
  <c r="J52"/>
  <c r="A41"/>
  <c r="B41"/>
  <c r="C41"/>
  <c r="D41"/>
  <c r="O10" i="1" s="1"/>
  <c r="E41" i="7"/>
  <c r="F41"/>
  <c r="Q10" i="1" s="1"/>
  <c r="J41" i="7"/>
  <c r="H22" i="2"/>
  <c r="H11"/>
  <c r="H6"/>
  <c r="H17"/>
  <c r="H4"/>
  <c r="H21"/>
  <c r="H10"/>
  <c r="H23"/>
  <c r="H16"/>
  <c r="H8"/>
  <c r="H19"/>
  <c r="P33"/>
  <c r="R33"/>
  <c r="S33"/>
  <c r="H18" i="5"/>
  <c r="H34" i="7" s="1"/>
  <c r="H11" i="5"/>
  <c r="H16" i="7" s="1"/>
  <c r="I11" i="5"/>
  <c r="I16" i="7" s="1"/>
  <c r="I16" i="5"/>
  <c r="I17" i="7" s="1"/>
  <c r="R14" i="1"/>
  <c r="I13" i="5"/>
  <c r="I48" i="7" s="1"/>
  <c r="I12" i="5"/>
  <c r="I37" i="7" s="1"/>
  <c r="M26" i="5"/>
  <c r="H15"/>
  <c r="H74" i="7" s="1"/>
  <c r="I14" i="5"/>
  <c r="I72" i="7" s="1"/>
  <c r="H10" i="5"/>
  <c r="H22" i="7" s="1"/>
  <c r="I10" i="5"/>
  <c r="I22" i="7" s="1"/>
  <c r="H6" i="5"/>
  <c r="H65" i="7" s="1"/>
  <c r="I6" i="5"/>
  <c r="I65" i="7" s="1"/>
  <c r="H8" i="5"/>
  <c r="H44" i="7" s="1"/>
  <c r="J26" i="5"/>
  <c r="K26"/>
  <c r="O24" i="9"/>
  <c r="G33" i="5"/>
  <c r="P33"/>
  <c r="H19" i="4"/>
  <c r="H63" i="7" s="1"/>
  <c r="I19" i="4"/>
  <c r="I63" i="7" s="1"/>
  <c r="H8" i="4"/>
  <c r="I8"/>
  <c r="H21"/>
  <c r="I21"/>
  <c r="H13"/>
  <c r="I13"/>
  <c r="H11"/>
  <c r="H6"/>
  <c r="I6"/>
  <c r="H4"/>
  <c r="I4"/>
  <c r="H12"/>
  <c r="H7"/>
  <c r="I7"/>
  <c r="I14"/>
  <c r="O30"/>
  <c r="H25"/>
  <c r="H18"/>
  <c r="I18"/>
  <c r="H5"/>
  <c r="I5"/>
  <c r="H17"/>
  <c r="I17"/>
  <c r="I69" i="7" s="1"/>
  <c r="I15" i="4"/>
  <c r="H22"/>
  <c r="I22"/>
  <c r="H27"/>
  <c r="I27"/>
  <c r="I16"/>
  <c r="K30"/>
  <c r="L30"/>
  <c r="P30"/>
  <c r="R30"/>
  <c r="I33"/>
  <c r="L21" i="9"/>
  <c r="I35" i="4"/>
  <c r="I21" i="9"/>
  <c r="U33" i="4"/>
  <c r="O29" i="5"/>
  <c r="I23" i="9" s="1"/>
  <c r="H4" i="5"/>
  <c r="R16" i="1"/>
  <c r="R15"/>
  <c r="R18"/>
  <c r="G62" i="7"/>
  <c r="F26" i="5"/>
  <c r="Q33"/>
  <c r="H17"/>
  <c r="H57" i="7" s="1"/>
  <c r="P12" i="1"/>
  <c r="M17"/>
  <c r="O18"/>
  <c r="F33" i="2"/>
  <c r="E33"/>
  <c r="I7"/>
  <c r="N19" i="1"/>
  <c r="R17"/>
  <c r="D19" i="9"/>
  <c r="N24" i="1" s="1"/>
  <c r="N11"/>
  <c r="H13" i="2"/>
  <c r="H5"/>
  <c r="H23" i="4"/>
  <c r="H70" i="7" s="1"/>
  <c r="H14" i="4"/>
  <c r="G25" i="9"/>
  <c r="H9" i="2"/>
  <c r="U12" i="1"/>
  <c r="N15"/>
  <c r="M26" i="2"/>
  <c r="I9"/>
  <c r="S33" i="5"/>
  <c r="I24" i="9"/>
  <c r="I17" i="5"/>
  <c r="I57" i="7" s="1"/>
  <c r="H7" i="2"/>
  <c r="R11" i="1"/>
  <c r="Q14"/>
  <c r="P14"/>
  <c r="G26" i="5"/>
  <c r="H14"/>
  <c r="H72" i="7" s="1"/>
  <c r="G20" i="9"/>
  <c r="J26" i="2"/>
  <c r="Q13" i="1"/>
  <c r="Q12"/>
  <c r="H15" i="2"/>
  <c r="Q11" i="1"/>
  <c r="G21" i="9"/>
  <c r="I25" i="4"/>
  <c r="O30" i="2"/>
  <c r="I19" i="9" s="1"/>
  <c r="L26" i="5"/>
  <c r="H15" i="4"/>
  <c r="F26" i="2"/>
  <c r="J30" i="4"/>
  <c r="R13" i="1"/>
  <c r="G26" i="2"/>
  <c r="G41" i="7"/>
  <c r="I25" i="9"/>
  <c r="I11" i="4"/>
  <c r="Q17" i="1"/>
  <c r="R26" i="2"/>
  <c r="N33"/>
  <c r="I20" i="9"/>
  <c r="G33" i="2"/>
  <c r="I19" i="5"/>
  <c r="H16"/>
  <c r="H17" i="7" s="1"/>
  <c r="H75" l="1"/>
  <c r="H76"/>
  <c r="H71"/>
  <c r="I71"/>
  <c r="O25" i="1"/>
  <c r="I29" i="7"/>
  <c r="W24" i="1"/>
  <c r="P24"/>
  <c r="X24"/>
  <c r="T24"/>
  <c r="R24"/>
  <c r="V24"/>
  <c r="U24"/>
  <c r="O24"/>
  <c r="H39" i="7"/>
  <c r="H35"/>
  <c r="H51"/>
  <c r="H69"/>
  <c r="I36"/>
  <c r="P23" i="1"/>
  <c r="O23" i="9"/>
  <c r="X23" i="1"/>
  <c r="I73" i="7"/>
  <c r="L23" i="1"/>
  <c r="H50" i="7"/>
  <c r="H42"/>
  <c r="I75"/>
  <c r="H23"/>
  <c r="I32"/>
  <c r="O33" i="5"/>
  <c r="H32" i="7"/>
  <c r="H28"/>
  <c r="I30" i="4"/>
  <c r="H30"/>
  <c r="O20" i="9"/>
  <c r="V33" i="2"/>
  <c r="H73" i="7"/>
  <c r="H67"/>
  <c r="H59"/>
  <c r="I60"/>
  <c r="I25"/>
  <c r="H33" i="2"/>
  <c r="U37" i="4"/>
  <c r="H46" i="7"/>
  <c r="H27"/>
  <c r="U23" i="1"/>
  <c r="M23"/>
  <c r="I35" i="7"/>
  <c r="T11" i="1" s="1"/>
  <c r="I33" i="2"/>
  <c r="I66" i="7"/>
  <c r="I21"/>
  <c r="I42"/>
  <c r="I19"/>
  <c r="V23" i="1"/>
  <c r="K23"/>
  <c r="N23"/>
  <c r="W23"/>
  <c r="L25"/>
  <c r="O23"/>
  <c r="I30" i="7"/>
  <c r="I67"/>
  <c r="H54"/>
  <c r="I23"/>
  <c r="I53"/>
  <c r="I59"/>
  <c r="H19"/>
  <c r="H29"/>
  <c r="H55"/>
  <c r="H66"/>
  <c r="H30"/>
  <c r="I46"/>
  <c r="I28"/>
  <c r="I41"/>
  <c r="I55"/>
  <c r="I27"/>
  <c r="H53"/>
  <c r="O37" i="4"/>
  <c r="H37"/>
  <c r="H25" i="7"/>
  <c r="H24"/>
  <c r="O33" i="2"/>
  <c r="I26"/>
  <c r="I64" i="7"/>
  <c r="I56"/>
  <c r="I40"/>
  <c r="I49"/>
  <c r="I26"/>
  <c r="I76"/>
  <c r="I43"/>
  <c r="H64"/>
  <c r="H56"/>
  <c r="H41"/>
  <c r="H21"/>
  <c r="S23" i="1"/>
  <c r="S24"/>
  <c r="M25"/>
  <c r="U25"/>
  <c r="R25"/>
  <c r="X25"/>
  <c r="V25"/>
  <c r="K25"/>
  <c r="S25"/>
  <c r="P25"/>
  <c r="T25"/>
  <c r="N25"/>
  <c r="O21" i="9"/>
  <c r="H45" i="7"/>
  <c r="I52"/>
  <c r="I70"/>
  <c r="I24"/>
  <c r="H60"/>
  <c r="H33"/>
  <c r="S10" i="1" s="1"/>
  <c r="I51" i="7"/>
  <c r="H26"/>
  <c r="S11" i="1" s="1"/>
  <c r="I33" i="7"/>
  <c r="I50"/>
  <c r="I45"/>
  <c r="H61"/>
  <c r="H40"/>
  <c r="H52"/>
  <c r="H36"/>
  <c r="H43"/>
  <c r="I61"/>
  <c r="I62"/>
  <c r="I34"/>
  <c r="H33" i="5"/>
  <c r="Q23" i="1"/>
  <c r="P10"/>
  <c r="N10"/>
  <c r="L10"/>
  <c r="U10"/>
  <c r="M10"/>
  <c r="Q16"/>
  <c r="P16"/>
  <c r="R10"/>
  <c r="R19"/>
  <c r="O12"/>
  <c r="M12"/>
  <c r="U17"/>
  <c r="N17"/>
  <c r="L17"/>
  <c r="N18"/>
  <c r="L18"/>
  <c r="U11"/>
  <c r="O11"/>
  <c r="M11"/>
  <c r="U16"/>
  <c r="O16"/>
  <c r="M16"/>
  <c r="O14"/>
  <c r="M14"/>
  <c r="Q19"/>
  <c r="P13"/>
  <c r="P19"/>
  <c r="R12"/>
  <c r="N12"/>
  <c r="L12"/>
  <c r="U15"/>
  <c r="L15"/>
  <c r="O17"/>
  <c r="U18"/>
  <c r="M18"/>
  <c r="L11"/>
  <c r="N16"/>
  <c r="L16"/>
  <c r="U14"/>
  <c r="N14"/>
  <c r="L14"/>
  <c r="Q15"/>
  <c r="I26" i="5"/>
  <c r="H62" i="7"/>
  <c r="H26" i="2"/>
  <c r="H26" i="5"/>
  <c r="P5" i="1"/>
  <c r="P4"/>
  <c r="P6"/>
  <c r="S15" l="1"/>
  <c r="T15"/>
  <c r="T19"/>
  <c r="T13"/>
  <c r="S17"/>
  <c r="S12"/>
  <c r="T16"/>
  <c r="T10"/>
  <c r="S13"/>
  <c r="T17"/>
  <c r="S16"/>
  <c r="T18"/>
  <c r="S19"/>
  <c r="T12"/>
  <c r="Q25"/>
  <c r="Q24"/>
  <c r="S14"/>
  <c r="S18"/>
  <c r="T14"/>
</calcChain>
</file>

<file path=xl/sharedStrings.xml><?xml version="1.0" encoding="utf-8"?>
<sst xmlns="http://schemas.openxmlformats.org/spreadsheetml/2006/main" count="684" uniqueCount="268">
  <si>
    <t>Date</t>
  </si>
  <si>
    <t>Rink</t>
  </si>
  <si>
    <t>Home Team</t>
  </si>
  <si>
    <t>Score</t>
  </si>
  <si>
    <t>Away Team</t>
  </si>
  <si>
    <t>Game #</t>
  </si>
  <si>
    <t>Round 1</t>
  </si>
  <si>
    <t>Round 2</t>
  </si>
  <si>
    <t>Round 3</t>
  </si>
  <si>
    <t>Round 4</t>
  </si>
  <si>
    <t>Team</t>
  </si>
  <si>
    <t>GP</t>
  </si>
  <si>
    <t>GF</t>
  </si>
  <si>
    <t>GA</t>
  </si>
  <si>
    <t>GD</t>
  </si>
  <si>
    <t>Tie</t>
  </si>
  <si>
    <t>Points</t>
  </si>
  <si>
    <t>Round 5</t>
  </si>
  <si>
    <t>Round 6</t>
  </si>
  <si>
    <t>Round 7</t>
  </si>
  <si>
    <t>No#</t>
  </si>
  <si>
    <t>POS</t>
  </si>
  <si>
    <t>Player</t>
  </si>
  <si>
    <t>Goals</t>
  </si>
  <si>
    <t>Assists</t>
  </si>
  <si>
    <t>PIM</t>
  </si>
  <si>
    <t>PPG</t>
  </si>
  <si>
    <t>SHG</t>
  </si>
  <si>
    <t>F</t>
  </si>
  <si>
    <t>D</t>
  </si>
  <si>
    <t>Goalies</t>
  </si>
  <si>
    <t>SA</t>
  </si>
  <si>
    <t>S%</t>
  </si>
  <si>
    <t>MINS</t>
  </si>
  <si>
    <t>SO</t>
  </si>
  <si>
    <t>W</t>
  </si>
  <si>
    <t>L</t>
  </si>
  <si>
    <t>Logan</t>
  </si>
  <si>
    <t>Harrison</t>
  </si>
  <si>
    <t>TEAM</t>
  </si>
  <si>
    <t>LEAGUE LEADERS</t>
  </si>
  <si>
    <t>GOALTENDING LEADERS</t>
  </si>
  <si>
    <t>SO=Shut Out</t>
  </si>
  <si>
    <t>W=Win</t>
  </si>
  <si>
    <t>L=Loss</t>
  </si>
  <si>
    <t>D=Draw</t>
  </si>
  <si>
    <t>PPA</t>
  </si>
  <si>
    <t>SHA</t>
  </si>
  <si>
    <t>Import</t>
  </si>
  <si>
    <t>No</t>
  </si>
  <si>
    <t>% of total Gametime</t>
  </si>
  <si>
    <t>G</t>
  </si>
  <si>
    <t>Win</t>
  </si>
  <si>
    <t>Lost</t>
  </si>
  <si>
    <t>Christchurch</t>
  </si>
  <si>
    <t>Dunedin</t>
  </si>
  <si>
    <t>GP = Games played</t>
  </si>
  <si>
    <t>GA = Goal against</t>
  </si>
  <si>
    <t>GF - Goals for</t>
  </si>
  <si>
    <t>GD = Goal Difference</t>
  </si>
  <si>
    <t>Win - Number of wins</t>
  </si>
  <si>
    <t>Lost = Lost after regular time</t>
  </si>
  <si>
    <t>Points = Total Points</t>
  </si>
  <si>
    <t>Joshua</t>
  </si>
  <si>
    <t>First Name</t>
  </si>
  <si>
    <t>Surname</t>
  </si>
  <si>
    <t>Team Penalty</t>
  </si>
  <si>
    <t>GAA</t>
  </si>
  <si>
    <t>Game time *</t>
  </si>
  <si>
    <t>* Goaltender must play at least 40% of his team's total minutes played to be eligible for an award</t>
  </si>
  <si>
    <t>Ranking</t>
  </si>
  <si>
    <t>Auckland</t>
  </si>
  <si>
    <t>Canterbury</t>
  </si>
  <si>
    <t>Southern</t>
  </si>
  <si>
    <t>Start</t>
  </si>
  <si>
    <t>AKL</t>
  </si>
  <si>
    <t>STH</t>
  </si>
  <si>
    <t>CANT</t>
  </si>
  <si>
    <t>Tie = Number of draws</t>
  </si>
  <si>
    <t>Josh</t>
  </si>
  <si>
    <t>Callum</t>
  </si>
  <si>
    <t>Karl</t>
  </si>
  <si>
    <t>Taylor</t>
  </si>
  <si>
    <t>Liam</t>
  </si>
  <si>
    <t>Shaun</t>
  </si>
  <si>
    <t>Fraser</t>
  </si>
  <si>
    <t>Rawiri</t>
  </si>
  <si>
    <t>Team Penalties</t>
  </si>
  <si>
    <t>Ahmed</t>
  </si>
  <si>
    <t>Staden-Lea</t>
  </si>
  <si>
    <t>Felipe</t>
  </si>
  <si>
    <t>Matthew</t>
  </si>
  <si>
    <t>Egan</t>
  </si>
  <si>
    <t>Heale</t>
  </si>
  <si>
    <t>Alex</t>
  </si>
  <si>
    <t>Leon</t>
  </si>
  <si>
    <t>Leahy</t>
  </si>
  <si>
    <t>Sam</t>
  </si>
  <si>
    <t>Luke</t>
  </si>
  <si>
    <t>Ben</t>
  </si>
  <si>
    <t>Hadley</t>
  </si>
  <si>
    <t>Hurring</t>
  </si>
  <si>
    <t>5Min</t>
  </si>
  <si>
    <t>10Min</t>
  </si>
  <si>
    <t>GM/Ma</t>
  </si>
  <si>
    <t>2Min</t>
  </si>
  <si>
    <t>Total</t>
  </si>
  <si>
    <t>League MVP</t>
  </si>
  <si>
    <t>Best Goalkeeper</t>
  </si>
  <si>
    <t>Top Points Scorer</t>
  </si>
  <si>
    <t>Team Most Valuable Players</t>
  </si>
  <si>
    <t>Avondale</t>
  </si>
  <si>
    <t>Botany</t>
  </si>
  <si>
    <t>Bygate-Smith</t>
  </si>
  <si>
    <t>Goodall</t>
  </si>
  <si>
    <t>Henderson</t>
  </si>
  <si>
    <t>Hill</t>
  </si>
  <si>
    <t>Kilpelainen</t>
  </si>
  <si>
    <t>Riley</t>
  </si>
  <si>
    <t>Moses</t>
  </si>
  <si>
    <t>Ryan</t>
  </si>
  <si>
    <t xml:space="preserve">Taylor </t>
  </si>
  <si>
    <t>Connor</t>
  </si>
  <si>
    <t>Paddy</t>
  </si>
  <si>
    <t>Nationality</t>
  </si>
  <si>
    <t>NZ</t>
  </si>
  <si>
    <t>Can/Nz</t>
  </si>
  <si>
    <t>Canterbury JEL Management:</t>
  </si>
  <si>
    <r>
      <t>Assistant Manager:</t>
    </r>
    <r>
      <rPr>
        <sz val="8"/>
        <rFont val="Arial"/>
        <family val="2"/>
      </rPr>
      <t xml:space="preserve"> Howard Brown</t>
    </r>
  </si>
  <si>
    <t>Barclay</t>
  </si>
  <si>
    <t>McLaren</t>
  </si>
  <si>
    <t>Kinraid</t>
  </si>
  <si>
    <t>Smith</t>
  </si>
  <si>
    <t>Seamus</t>
  </si>
  <si>
    <t>Singapore</t>
  </si>
  <si>
    <t>Australia</t>
  </si>
  <si>
    <t>Southern JEL Management:</t>
  </si>
  <si>
    <r>
      <t>Coach:</t>
    </r>
    <r>
      <rPr>
        <sz val="8"/>
        <rFont val="Arial"/>
        <family val="2"/>
      </rPr>
      <t xml:space="preserve"> Janos Kaszala</t>
    </r>
  </si>
  <si>
    <r>
      <t>Assistant Coachs:</t>
    </r>
    <r>
      <rPr>
        <sz val="8"/>
        <rFont val="Arial"/>
        <family val="2"/>
      </rPr>
      <t xml:space="preserve"> Paris Heyd &amp; Richard Macharg</t>
    </r>
  </si>
  <si>
    <r>
      <t>Co ordinator:</t>
    </r>
    <r>
      <rPr>
        <sz val="8"/>
        <rFont val="Arial"/>
        <family val="2"/>
      </rPr>
      <t xml:space="preserve"> Linda McCutcheon</t>
    </r>
  </si>
  <si>
    <t>Froger</t>
  </si>
  <si>
    <t>Jansson</t>
  </si>
  <si>
    <t>Pugh</t>
  </si>
  <si>
    <t>Reynolds-Hatem</t>
  </si>
  <si>
    <t>Suzuki</t>
  </si>
  <si>
    <t>Evan</t>
  </si>
  <si>
    <t>Mak</t>
  </si>
  <si>
    <t>Micah</t>
  </si>
  <si>
    <t>Alyssa</t>
  </si>
  <si>
    <t>Auckland JEL Management:</t>
  </si>
  <si>
    <r>
      <t>Manager:</t>
    </r>
    <r>
      <rPr>
        <sz val="8"/>
        <rFont val="Arial"/>
        <family val="2"/>
      </rPr>
      <t xml:space="preserve"> Ian Fraser</t>
    </r>
  </si>
  <si>
    <t>Emty Net</t>
  </si>
  <si>
    <t>Drew</t>
  </si>
  <si>
    <t>Kinney</t>
  </si>
  <si>
    <t>Best Forward</t>
  </si>
  <si>
    <t>Best Defenseman</t>
  </si>
  <si>
    <t>NZJEL U16 2013</t>
  </si>
  <si>
    <t>2013 Awards</t>
  </si>
  <si>
    <r>
      <t>Coach:</t>
    </r>
    <r>
      <rPr>
        <sz val="8"/>
        <rFont val="Arial"/>
        <family val="2"/>
      </rPr>
      <t xml:space="preserve"> Dean Tonks</t>
    </r>
  </si>
  <si>
    <r>
      <t>Assistant Coachs:</t>
    </r>
    <r>
      <rPr>
        <sz val="8"/>
        <rFont val="Arial"/>
        <family val="2"/>
      </rPr>
      <t xml:space="preserve"> Brandon Contratto</t>
    </r>
  </si>
  <si>
    <r>
      <t>Co ordinator:</t>
    </r>
    <r>
      <rPr>
        <sz val="8"/>
        <rFont val="Arial"/>
        <family val="2"/>
      </rPr>
      <t xml:space="preserve"> Andreas Kaisser</t>
    </r>
  </si>
  <si>
    <t>OtW</t>
  </si>
  <si>
    <t>OtL</t>
  </si>
  <si>
    <t>NZJEL U16 Team Stats 2013 Southern</t>
  </si>
  <si>
    <t>James</t>
  </si>
  <si>
    <t>Moore</t>
  </si>
  <si>
    <t>Padrig</t>
  </si>
  <si>
    <t>MacKenzie</t>
  </si>
  <si>
    <t>Day</t>
  </si>
  <si>
    <t>UK</t>
  </si>
  <si>
    <t>Jakob</t>
  </si>
  <si>
    <t>Newell</t>
  </si>
  <si>
    <t>Kristin</t>
  </si>
  <si>
    <t>Macharg ©</t>
  </si>
  <si>
    <t>Stewart</t>
  </si>
  <si>
    <t>Miller</t>
  </si>
  <si>
    <t>Charlie</t>
  </si>
  <si>
    <t>Lilly</t>
  </si>
  <si>
    <t>Max</t>
  </si>
  <si>
    <t>Harford (A)</t>
  </si>
  <si>
    <t>Kelepi</t>
  </si>
  <si>
    <t>Tapealava</t>
  </si>
  <si>
    <t>Johnston (A)</t>
  </si>
  <si>
    <t>Nicola</t>
  </si>
  <si>
    <t>Henare</t>
  </si>
  <si>
    <t>Rebecca</t>
  </si>
  <si>
    <t>Matt</t>
  </si>
  <si>
    <t>Dodds</t>
  </si>
  <si>
    <t>Mills</t>
  </si>
  <si>
    <t>USA</t>
  </si>
  <si>
    <r>
      <t>Manager:</t>
    </r>
    <r>
      <rPr>
        <sz val="8"/>
        <rFont val="Arial"/>
        <family val="2"/>
      </rPr>
      <t xml:space="preserve"> Bronwyn McLaren</t>
    </r>
  </si>
  <si>
    <t>NZJEL U16 Team Stats 2013 Canterbury</t>
  </si>
  <si>
    <t>van Slooten</t>
  </si>
  <si>
    <t>Rom</t>
  </si>
  <si>
    <t>Llewellyn</t>
  </si>
  <si>
    <t>Matheson</t>
  </si>
  <si>
    <t>Graham</t>
  </si>
  <si>
    <t xml:space="preserve">Mason </t>
  </si>
  <si>
    <t>Rees</t>
  </si>
  <si>
    <t>Tenebaum</t>
  </si>
  <si>
    <t>Ethan</t>
  </si>
  <si>
    <t>Du Plooy</t>
  </si>
  <si>
    <t>Eliza</t>
  </si>
  <si>
    <t>Thompson</t>
  </si>
  <si>
    <t>Mick</t>
  </si>
  <si>
    <t>Latham</t>
  </si>
  <si>
    <t>George</t>
  </si>
  <si>
    <t>Hopkins</t>
  </si>
  <si>
    <t>Amelia Rose</t>
  </si>
  <si>
    <t>Hayden</t>
  </si>
  <si>
    <t>Burrell</t>
  </si>
  <si>
    <t>Patrick</t>
  </si>
  <si>
    <t>Sargisson</t>
  </si>
  <si>
    <t>St John-Stewart</t>
  </si>
  <si>
    <t>Hannah</t>
  </si>
  <si>
    <t>Lawson</t>
  </si>
  <si>
    <t>Dutch</t>
  </si>
  <si>
    <t>NZJEL U16 Team Stats 2013 Auckland</t>
  </si>
  <si>
    <t>Aguirre  Landshoeft</t>
  </si>
  <si>
    <t>Sascha</t>
  </si>
  <si>
    <t>Appel</t>
  </si>
  <si>
    <t>Brunei</t>
  </si>
  <si>
    <t>Oliver</t>
  </si>
  <si>
    <t>Curtis</t>
  </si>
  <si>
    <t>Riki</t>
  </si>
  <si>
    <t>Dobbs</t>
  </si>
  <si>
    <t>Mitchell</t>
  </si>
  <si>
    <t>English</t>
  </si>
  <si>
    <t>Bruno</t>
  </si>
  <si>
    <t>Green</t>
  </si>
  <si>
    <t>Cole</t>
  </si>
  <si>
    <t>Kolisnyk</t>
  </si>
  <si>
    <t>Jimmy</t>
  </si>
  <si>
    <t>Leung</t>
  </si>
  <si>
    <t>Canada</t>
  </si>
  <si>
    <t>Jayden</t>
  </si>
  <si>
    <t>Lisowski</t>
  </si>
  <si>
    <t xml:space="preserve">Tom </t>
  </si>
  <si>
    <t>Alexander</t>
  </si>
  <si>
    <t>Regan</t>
  </si>
  <si>
    <t>Christian</t>
  </si>
  <si>
    <t>Finn</t>
  </si>
  <si>
    <t>Robertson</t>
  </si>
  <si>
    <t>Great Britain</t>
  </si>
  <si>
    <t>Ciaran</t>
  </si>
  <si>
    <t>Stuart</t>
  </si>
  <si>
    <t>Jaimeson Lee Jones</t>
  </si>
  <si>
    <t>Taute</t>
  </si>
  <si>
    <t>Wright</t>
  </si>
  <si>
    <r>
      <t>Ass. Manager:</t>
    </r>
    <r>
      <rPr>
        <sz val="8"/>
        <rFont val="Arial"/>
        <family val="2"/>
      </rPr>
      <t xml:space="preserve"> Wayne Curtis</t>
    </r>
  </si>
  <si>
    <t>Brown ©</t>
  </si>
  <si>
    <t>Forgues (A)</t>
  </si>
  <si>
    <t>van Stolk (A)</t>
  </si>
  <si>
    <t>OT/SO</t>
  </si>
  <si>
    <t>U16 League Players Stats 2013</t>
  </si>
  <si>
    <t xml:space="preserve">U16 League Goaltending Stats 2013 </t>
  </si>
  <si>
    <r>
      <t>Coach:</t>
    </r>
    <r>
      <rPr>
        <sz val="8"/>
        <rFont val="Arial"/>
        <family val="2"/>
      </rPr>
      <t xml:space="preserve"> Vince Mitalas</t>
    </r>
  </si>
  <si>
    <r>
      <t>Assistant Coachs:</t>
    </r>
    <r>
      <rPr>
        <sz val="8"/>
        <rFont val="Arial"/>
        <family val="2"/>
      </rPr>
      <t xml:space="preserve"> Anton Purver</t>
    </r>
  </si>
  <si>
    <r>
      <t>Co ordinator:</t>
    </r>
    <r>
      <rPr>
        <sz val="8"/>
        <rFont val="Arial"/>
        <family val="2"/>
      </rPr>
      <t xml:space="preserve"> Heather Goodall</t>
    </r>
  </si>
  <si>
    <r>
      <t>Manager:</t>
    </r>
    <r>
      <rPr>
        <sz val="8"/>
        <rFont val="Arial"/>
        <family val="2"/>
      </rPr>
      <t xml:space="preserve"> Dave Fraser</t>
    </r>
  </si>
  <si>
    <t>A</t>
  </si>
  <si>
    <t>Harrison Macharg (Southern)</t>
  </si>
  <si>
    <t>Drew Kinney (Southern)</t>
  </si>
  <si>
    <t>Ben Harford (Southern)</t>
  </si>
  <si>
    <t>Tom Pugh</t>
  </si>
  <si>
    <t>Kristen Smith</t>
  </si>
  <si>
    <t>Leon Forgues</t>
  </si>
  <si>
    <t>Shaun Brown (Canterbury)</t>
  </si>
</sst>
</file>

<file path=xl/styles.xml><?xml version="1.0" encoding="utf-8"?>
<styleSheet xmlns="http://schemas.openxmlformats.org/spreadsheetml/2006/main">
  <numFmts count="3">
    <numFmt numFmtId="164" formatCode="m/d/yyyy"/>
    <numFmt numFmtId="165" formatCode="dd/mm/yyyy;@"/>
    <numFmt numFmtId="166" formatCode="#,##0.00_ ;[Red]\-#,##0.00\ "/>
  </numFmts>
  <fonts count="15">
    <font>
      <sz val="10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u/>
      <sz val="11"/>
      <color indexed="5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0" fontId="1" fillId="2" borderId="0" applyNumberFormat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0" fontId="2" fillId="0" borderId="0" xfId="0" applyNumberFormat="1" applyFont="1"/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10" fontId="2" fillId="0" borderId="4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0" xfId="0" applyFont="1" applyBorder="1" applyAlignment="1"/>
    <xf numFmtId="165" fontId="5" fillId="0" borderId="12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8" fillId="0" borderId="17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66" fontId="2" fillId="0" borderId="2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Fill="1" applyBorder="1"/>
    <xf numFmtId="0" fontId="2" fillId="0" borderId="4" xfId="0" applyFont="1" applyBorder="1"/>
    <xf numFmtId="0" fontId="13" fillId="0" borderId="0" xfId="0" applyFont="1"/>
    <xf numFmtId="0" fontId="8" fillId="0" borderId="0" xfId="0" applyFont="1"/>
    <xf numFmtId="0" fontId="2" fillId="9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left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3">
    <cellStyle name="Excel Built-in Normal" xfId="1"/>
    <cellStyle name="Neutral" xfId="2" builtinId="28" customBuiltin="1"/>
    <cellStyle name="Normal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447676</xdr:colOff>
      <xdr:row>21</xdr:row>
      <xdr:rowOff>33338</xdr:rowOff>
    </xdr:from>
    <xdr:to>
      <xdr:col>7</xdr:col>
      <xdr:colOff>261938</xdr:colOff>
      <xdr:row>31</xdr:row>
      <xdr:rowOff>135732</xdr:rowOff>
    </xdr:to>
    <xdr:pic>
      <xdr:nvPicPr>
        <xdr:cNvPr id="1435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29" t="6709" r="8203" b="31667"/>
        <a:stretch>
          <a:fillRect/>
        </a:stretch>
      </xdr:blipFill>
      <xdr:spPr bwMode="auto">
        <a:xfrm>
          <a:off x="1047751" y="3662363"/>
          <a:ext cx="4910137" cy="15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</xdr:row>
      <xdr:rowOff>19050</xdr:rowOff>
    </xdr:from>
    <xdr:to>
      <xdr:col>9</xdr:col>
      <xdr:colOff>161925</xdr:colOff>
      <xdr:row>11</xdr:row>
      <xdr:rowOff>104775</xdr:rowOff>
    </xdr:to>
    <xdr:pic>
      <xdr:nvPicPr>
        <xdr:cNvPr id="7606" name="Picture 1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29" t="6709" r="8203" b="31667"/>
        <a:stretch>
          <a:fillRect/>
        </a:stretch>
      </xdr:blipFill>
      <xdr:spPr bwMode="auto">
        <a:xfrm>
          <a:off x="1209675" y="180975"/>
          <a:ext cx="481965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114300</xdr:rowOff>
    </xdr:from>
    <xdr:to>
      <xdr:col>12</xdr:col>
      <xdr:colOff>342900</xdr:colOff>
      <xdr:row>12</xdr:row>
      <xdr:rowOff>19050</xdr:rowOff>
    </xdr:to>
    <xdr:pic>
      <xdr:nvPicPr>
        <xdr:cNvPr id="8587" name="Picture 1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29" t="6709" r="8203" b="31667"/>
        <a:stretch>
          <a:fillRect/>
        </a:stretch>
      </xdr:blipFill>
      <xdr:spPr bwMode="auto">
        <a:xfrm>
          <a:off x="762000" y="276225"/>
          <a:ext cx="43053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"/>
  <sheetViews>
    <sheetView tabSelected="1" topLeftCell="A11" zoomScaleNormal="100" workbookViewId="0">
      <selection activeCell="G39" sqref="G39"/>
    </sheetView>
  </sheetViews>
  <sheetFormatPr defaultColWidth="9.140625" defaultRowHeight="11.25"/>
  <cols>
    <col min="1" max="1" width="9" style="1" customWidth="1"/>
    <col min="2" max="2" width="10.7109375" style="2" customWidth="1"/>
    <col min="3" max="3" width="12.85546875" style="2" bestFit="1" customWidth="1"/>
    <col min="4" max="4" width="14.42578125" style="2" bestFit="1" customWidth="1"/>
    <col min="5" max="5" width="11.28515625" style="2" customWidth="1"/>
    <col min="6" max="6" width="15.140625" style="1" customWidth="1"/>
    <col min="7" max="7" width="12" style="2" customWidth="1"/>
    <col min="8" max="8" width="11" style="2" customWidth="1"/>
    <col min="9" max="9" width="7.28515625" style="2" customWidth="1"/>
    <col min="10" max="10" width="10.85546875" style="1" customWidth="1"/>
    <col min="11" max="11" width="5.140625" style="1" customWidth="1"/>
    <col min="12" max="12" width="10.5703125" style="2" customWidth="1"/>
    <col min="13" max="13" width="10.140625" style="2" customWidth="1"/>
    <col min="14" max="14" width="10.28515625" style="2" customWidth="1"/>
    <col min="15" max="15" width="8.85546875" style="2" customWidth="1"/>
    <col min="16" max="16" width="7.28515625" style="1" customWidth="1"/>
    <col min="17" max="17" width="7.28515625" style="2" customWidth="1"/>
    <col min="18" max="18" width="7.28515625" style="1" customWidth="1"/>
    <col min="19" max="19" width="6" style="1" bestFit="1" customWidth="1"/>
    <col min="20" max="20" width="6.5703125" style="2" bestFit="1" customWidth="1"/>
    <col min="21" max="21" width="7.28515625" style="2" customWidth="1"/>
    <col min="22" max="22" width="6.5703125" style="2" bestFit="1" customWidth="1"/>
    <col min="23" max="23" width="4.7109375" style="2" customWidth="1"/>
    <col min="24" max="24" width="6.42578125" style="1" customWidth="1"/>
    <col min="25" max="25" width="7.5703125" style="2" customWidth="1"/>
    <col min="26" max="26" width="6.85546875" style="1" customWidth="1"/>
    <col min="27" max="16384" width="9.140625" style="1"/>
  </cols>
  <sheetData>
    <row r="1" spans="1:30" ht="21" customHeight="1">
      <c r="B1" s="91" t="s">
        <v>156</v>
      </c>
      <c r="C1" s="91"/>
      <c r="D1" s="91"/>
      <c r="E1" s="91"/>
      <c r="F1" s="91"/>
      <c r="G1" s="91"/>
      <c r="H1" s="89"/>
      <c r="I1" s="65"/>
      <c r="K1" s="3"/>
      <c r="L1" s="4"/>
      <c r="M1" s="4"/>
      <c r="N1" s="4"/>
      <c r="O1" s="4"/>
      <c r="P1" s="4"/>
      <c r="R1" s="3"/>
      <c r="S1" s="4"/>
      <c r="T1" s="4"/>
      <c r="U1" s="4"/>
      <c r="V1" s="4"/>
      <c r="W1" s="4"/>
    </row>
    <row r="2" spans="1:30" s="5" customFormat="1" ht="13.5" thickBot="1">
      <c r="B2" s="5" t="s">
        <v>0</v>
      </c>
      <c r="C2" s="5" t="s">
        <v>1</v>
      </c>
      <c r="D2" s="66" t="s">
        <v>2</v>
      </c>
      <c r="E2" s="5" t="s">
        <v>3</v>
      </c>
      <c r="F2" s="5" t="s">
        <v>4</v>
      </c>
      <c r="G2" s="5" t="s">
        <v>3</v>
      </c>
      <c r="H2" s="5" t="s">
        <v>253</v>
      </c>
      <c r="I2" s="5" t="s">
        <v>74</v>
      </c>
      <c r="J2" s="5" t="s">
        <v>5</v>
      </c>
      <c r="W2" s="10"/>
      <c r="Y2" s="10"/>
      <c r="Z2" s="1"/>
      <c r="AA2" s="1"/>
      <c r="AB2" s="1"/>
    </row>
    <row r="3" spans="1:30" s="5" customFormat="1" ht="13.5" thickBot="1">
      <c r="A3" s="5" t="s">
        <v>6</v>
      </c>
      <c r="B3" s="49">
        <v>41454</v>
      </c>
      <c r="C3" s="6" t="s">
        <v>55</v>
      </c>
      <c r="D3" s="7" t="s">
        <v>73</v>
      </c>
      <c r="E3" s="52">
        <v>8</v>
      </c>
      <c r="F3" s="7" t="s">
        <v>72</v>
      </c>
      <c r="G3" s="52">
        <v>2</v>
      </c>
      <c r="H3" s="53"/>
      <c r="I3" s="77">
        <v>0.60416666666666663</v>
      </c>
      <c r="J3" s="76">
        <v>1</v>
      </c>
      <c r="K3" s="1"/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52</v>
      </c>
      <c r="R3" s="5" t="s">
        <v>15</v>
      </c>
      <c r="S3" s="5" t="s">
        <v>53</v>
      </c>
      <c r="T3" s="5" t="s">
        <v>161</v>
      </c>
      <c r="U3" s="5" t="s">
        <v>162</v>
      </c>
      <c r="V3" s="5" t="s">
        <v>16</v>
      </c>
      <c r="W3" s="10"/>
      <c r="X3" s="4"/>
      <c r="Y3" s="10"/>
      <c r="Z3" s="1"/>
      <c r="AA3" s="2"/>
      <c r="AB3" s="1"/>
      <c r="AC3" s="1"/>
      <c r="AD3" s="1"/>
    </row>
    <row r="4" spans="1:30" s="5" customFormat="1" ht="13.5" customHeight="1" thickBot="1">
      <c r="B4" s="50">
        <v>41455</v>
      </c>
      <c r="C4" s="6" t="s">
        <v>55</v>
      </c>
      <c r="D4" s="11" t="s">
        <v>73</v>
      </c>
      <c r="E4" s="53">
        <v>7</v>
      </c>
      <c r="F4" s="11" t="s">
        <v>72</v>
      </c>
      <c r="G4" s="53">
        <v>2</v>
      </c>
      <c r="H4" s="53"/>
      <c r="I4" s="77">
        <v>0.375</v>
      </c>
      <c r="J4" s="76">
        <v>2</v>
      </c>
      <c r="K4" s="9"/>
      <c r="L4" s="54" t="s">
        <v>73</v>
      </c>
      <c r="M4" s="55">
        <f>1+1+1+1+1+1+1+1+1+1+1+1</f>
        <v>12</v>
      </c>
      <c r="N4" s="56">
        <f ca="1">SUMIF($D$3:$E$20,L4,$E$3:$E$20)+SUMIF($F$3:$G20,L4,$G$3:$G$20)</f>
        <v>84</v>
      </c>
      <c r="O4" s="56">
        <f ca="1">SUMIF($D$3:$E$20,L4,$G$3:$G$20)+SUMIF($F$3:$F$20,L4,$E$3:$E$20)</f>
        <v>52</v>
      </c>
      <c r="P4" s="56">
        <f ca="1">N4-O4</f>
        <v>32</v>
      </c>
      <c r="Q4" s="56">
        <f>1+1+1+1+1+1+1+1+1</f>
        <v>9</v>
      </c>
      <c r="R4" s="56">
        <v>1</v>
      </c>
      <c r="S4" s="56">
        <f>1+1</f>
        <v>2</v>
      </c>
      <c r="T4" s="56">
        <v>1</v>
      </c>
      <c r="U4" s="56">
        <v>0</v>
      </c>
      <c r="V4" s="60">
        <f>(Q4*3)+R4+T4</f>
        <v>29</v>
      </c>
      <c r="W4" s="10"/>
      <c r="X4" s="4"/>
      <c r="Y4" s="10"/>
      <c r="Z4" s="1"/>
      <c r="AA4" s="2"/>
      <c r="AB4" s="1"/>
      <c r="AC4" s="1"/>
      <c r="AD4" s="1"/>
    </row>
    <row r="5" spans="1:30" ht="12" customHeight="1" thickBot="1">
      <c r="A5" s="5" t="s">
        <v>7</v>
      </c>
      <c r="B5" s="49">
        <v>41475</v>
      </c>
      <c r="C5" s="6" t="s">
        <v>112</v>
      </c>
      <c r="D5" s="7" t="s">
        <v>71</v>
      </c>
      <c r="E5" s="52">
        <v>7</v>
      </c>
      <c r="F5" s="7" t="s">
        <v>73</v>
      </c>
      <c r="G5" s="52">
        <v>3</v>
      </c>
      <c r="H5" s="53"/>
      <c r="I5" s="77">
        <v>0.69791666666666663</v>
      </c>
      <c r="J5" s="76">
        <v>3</v>
      </c>
      <c r="K5" s="9"/>
      <c r="L5" s="57" t="s">
        <v>71</v>
      </c>
      <c r="M5" s="58">
        <f>1+1+1+1+1+1+1+1+1+1+1+1</f>
        <v>12</v>
      </c>
      <c r="N5" s="59">
        <f ca="1">SUMIF($D$3:$E$20,L5,$E$3:$E$20)+SUMIF($F$3:$G19,L5,$G$3:$G$20)</f>
        <v>67</v>
      </c>
      <c r="O5" s="59">
        <f ca="1">SUMIF($D$3:$E$20,L5,$G$3:$G$20)+SUMIF($F$3:$F$20,L5,$E$3:$E$20)</f>
        <v>51</v>
      </c>
      <c r="P5" s="59">
        <f ca="1">N5-O5</f>
        <v>16</v>
      </c>
      <c r="Q5" s="59">
        <f>1+1+1+1+1+1+1</f>
        <v>7</v>
      </c>
      <c r="R5" s="59">
        <f>1+1</f>
        <v>2</v>
      </c>
      <c r="S5" s="59">
        <f>0+1+1+1</f>
        <v>3</v>
      </c>
      <c r="T5" s="59">
        <f>1</f>
        <v>1</v>
      </c>
      <c r="U5" s="59">
        <v>1</v>
      </c>
      <c r="V5" s="60">
        <f>(Q5*3)+R5+T5</f>
        <v>24</v>
      </c>
      <c r="W5" s="10"/>
      <c r="X5" s="4"/>
      <c r="Y5" s="10"/>
      <c r="AA5" s="2"/>
    </row>
    <row r="6" spans="1:30" ht="13.5" thickBot="1">
      <c r="A6" s="5"/>
      <c r="B6" s="50">
        <v>41476</v>
      </c>
      <c r="C6" s="6" t="s">
        <v>112</v>
      </c>
      <c r="D6" s="11" t="s">
        <v>71</v>
      </c>
      <c r="E6" s="53">
        <v>6</v>
      </c>
      <c r="F6" s="11" t="s">
        <v>73</v>
      </c>
      <c r="G6" s="53">
        <v>7</v>
      </c>
      <c r="H6" s="53" t="s">
        <v>34</v>
      </c>
      <c r="I6" s="77">
        <v>0.35416666666666669</v>
      </c>
      <c r="J6" s="76">
        <v>4</v>
      </c>
      <c r="K6" s="9"/>
      <c r="L6" s="57" t="s">
        <v>72</v>
      </c>
      <c r="M6" s="58">
        <f>1+1+1+1+1+1+1+1+1+1+1+1</f>
        <v>12</v>
      </c>
      <c r="N6" s="59">
        <f ca="1">SUMIF($D$3:$E$20,L6,$E$3:$E$20)+SUMIF($F$3:$G21,L6,$G$3:$G$20)</f>
        <v>42</v>
      </c>
      <c r="O6" s="59">
        <f ca="1">SUMIF($D$3:$E$20,L6,$G$3:$G$20)+SUMIF($F$3:$F$20,L6,$E$3:$E$20)</f>
        <v>90</v>
      </c>
      <c r="P6" s="59">
        <f ca="1">N6-O6</f>
        <v>-48</v>
      </c>
      <c r="Q6" s="59">
        <v>0</v>
      </c>
      <c r="R6" s="59">
        <f>1</f>
        <v>1</v>
      </c>
      <c r="S6" s="59">
        <f>1+1+1+1+1+1+1+1+1+1+1</f>
        <v>11</v>
      </c>
      <c r="T6" s="59">
        <v>0</v>
      </c>
      <c r="U6" s="59">
        <f>1</f>
        <v>1</v>
      </c>
      <c r="V6" s="60">
        <f>(Q6*3)+R6+T6</f>
        <v>1</v>
      </c>
      <c r="W6" s="10"/>
      <c r="X6" s="4"/>
      <c r="Y6" s="10"/>
      <c r="AA6" s="2"/>
    </row>
    <row r="7" spans="1:30" ht="13.5" thickBot="1">
      <c r="A7" s="5" t="s">
        <v>8</v>
      </c>
      <c r="B7" s="49">
        <v>41489</v>
      </c>
      <c r="C7" s="6" t="s">
        <v>54</v>
      </c>
      <c r="D7" s="7" t="s">
        <v>72</v>
      </c>
      <c r="E7" s="52">
        <v>2</v>
      </c>
      <c r="F7" s="7" t="s">
        <v>71</v>
      </c>
      <c r="G7" s="52">
        <v>5</v>
      </c>
      <c r="H7" s="53"/>
      <c r="I7" s="77">
        <v>0.70833333333333337</v>
      </c>
      <c r="J7" s="76">
        <v>5</v>
      </c>
      <c r="K7" s="9"/>
      <c r="U7" s="10"/>
      <c r="V7" s="4"/>
      <c r="W7" s="10"/>
      <c r="AA7" s="2"/>
    </row>
    <row r="8" spans="1:30" ht="13.5" thickBot="1">
      <c r="A8" s="5"/>
      <c r="B8" s="50">
        <v>41490</v>
      </c>
      <c r="C8" s="8" t="s">
        <v>54</v>
      </c>
      <c r="D8" s="11" t="s">
        <v>72</v>
      </c>
      <c r="E8" s="53">
        <v>6</v>
      </c>
      <c r="F8" s="7" t="s">
        <v>71</v>
      </c>
      <c r="G8" s="53">
        <v>9</v>
      </c>
      <c r="H8" s="53"/>
      <c r="I8" s="77">
        <v>0.47916666666666669</v>
      </c>
      <c r="J8" s="76">
        <v>6</v>
      </c>
      <c r="L8" s="43" t="s">
        <v>40</v>
      </c>
      <c r="M8" s="41"/>
      <c r="N8" s="41"/>
      <c r="O8" s="41"/>
      <c r="P8" s="41"/>
      <c r="Q8" s="41"/>
      <c r="R8" s="41"/>
      <c r="S8" s="41"/>
      <c r="T8" s="41"/>
      <c r="U8" s="42"/>
      <c r="V8" s="10"/>
      <c r="W8" s="1"/>
      <c r="X8" s="2"/>
      <c r="Y8" s="1"/>
    </row>
    <row r="9" spans="1:30" ht="12.75">
      <c r="A9" s="5" t="s">
        <v>9</v>
      </c>
      <c r="B9" s="49">
        <v>41496</v>
      </c>
      <c r="C9" s="6" t="s">
        <v>55</v>
      </c>
      <c r="D9" s="7" t="s">
        <v>73</v>
      </c>
      <c r="E9" s="52">
        <v>4</v>
      </c>
      <c r="F9" s="11" t="s">
        <v>71</v>
      </c>
      <c r="G9" s="52">
        <v>3</v>
      </c>
      <c r="H9" s="53"/>
      <c r="I9" s="77">
        <v>0.60416666666666663</v>
      </c>
      <c r="J9" s="76">
        <v>7</v>
      </c>
      <c r="K9" s="9"/>
      <c r="L9" s="28" t="s">
        <v>20</v>
      </c>
      <c r="M9" s="26" t="s">
        <v>21</v>
      </c>
      <c r="N9" s="26" t="s">
        <v>22</v>
      </c>
      <c r="O9" s="26"/>
      <c r="P9" s="22" t="s">
        <v>11</v>
      </c>
      <c r="Q9" s="26" t="s">
        <v>23</v>
      </c>
      <c r="R9" s="22" t="s">
        <v>24</v>
      </c>
      <c r="S9" s="27" t="s">
        <v>16</v>
      </c>
      <c r="T9" s="27" t="s">
        <v>25</v>
      </c>
      <c r="U9" s="29" t="s">
        <v>39</v>
      </c>
      <c r="V9" s="10"/>
      <c r="W9" s="1"/>
      <c r="X9" s="2"/>
      <c r="Y9" s="1"/>
    </row>
    <row r="10" spans="1:30" ht="13.5" thickBot="1">
      <c r="A10" s="5"/>
      <c r="B10" s="50">
        <v>41497</v>
      </c>
      <c r="C10" s="8" t="s">
        <v>55</v>
      </c>
      <c r="D10" s="11" t="s">
        <v>73</v>
      </c>
      <c r="E10" s="53">
        <v>6</v>
      </c>
      <c r="F10" s="11" t="s">
        <v>71</v>
      </c>
      <c r="G10" s="53">
        <v>8</v>
      </c>
      <c r="H10" s="53"/>
      <c r="I10" s="77">
        <v>0.33333333333333331</v>
      </c>
      <c r="J10" s="76">
        <v>8</v>
      </c>
      <c r="K10" s="9"/>
      <c r="L10" s="39">
        <f>'Players Stats '!A16</f>
        <v>14</v>
      </c>
      <c r="M10" s="9" t="str">
        <f>'Players Stats '!B16</f>
        <v>F</v>
      </c>
      <c r="N10" s="10" t="str">
        <f>'Players Stats '!C16</f>
        <v>Harrison</v>
      </c>
      <c r="O10" s="10" t="str">
        <f>'Players Stats '!D16</f>
        <v>Macharg ©</v>
      </c>
      <c r="P10" s="9">
        <f>'Players Stats '!E16</f>
        <v>12</v>
      </c>
      <c r="Q10" s="9">
        <f>'Players Stats '!F16</f>
        <v>22</v>
      </c>
      <c r="R10" s="9">
        <f>'Players Stats '!G16</f>
        <v>15</v>
      </c>
      <c r="S10" s="9">
        <f>'Players Stats '!H16</f>
        <v>37</v>
      </c>
      <c r="T10" s="9">
        <f>'Players Stats '!I16</f>
        <v>14</v>
      </c>
      <c r="U10" s="30" t="str">
        <f>'Players Stats '!J16</f>
        <v>STH</v>
      </c>
      <c r="V10" s="10"/>
      <c r="W10" s="1"/>
      <c r="X10" s="2"/>
      <c r="Y10" s="1"/>
    </row>
    <row r="11" spans="1:30" ht="12.75">
      <c r="A11" s="5" t="s">
        <v>17</v>
      </c>
      <c r="B11" s="49">
        <v>41517</v>
      </c>
      <c r="C11" s="6" t="s">
        <v>54</v>
      </c>
      <c r="D11" s="7" t="s">
        <v>72</v>
      </c>
      <c r="E11" s="52">
        <v>3</v>
      </c>
      <c r="F11" s="7" t="s">
        <v>73</v>
      </c>
      <c r="G11" s="52">
        <v>6</v>
      </c>
      <c r="H11" s="53"/>
      <c r="I11" s="77">
        <v>0.69791666666666663</v>
      </c>
      <c r="J11" s="76">
        <v>9</v>
      </c>
      <c r="K11" s="9"/>
      <c r="L11" s="39">
        <f>'Players Stats '!A17</f>
        <v>11</v>
      </c>
      <c r="M11" s="9" t="str">
        <f>'Players Stats '!B17</f>
        <v>D</v>
      </c>
      <c r="N11" s="10" t="str">
        <f>'Players Stats '!C17</f>
        <v>Ben</v>
      </c>
      <c r="O11" s="10" t="str">
        <f>'Players Stats '!D17</f>
        <v>Harford (A)</v>
      </c>
      <c r="P11" s="9">
        <f>'Players Stats '!E17</f>
        <v>12</v>
      </c>
      <c r="Q11" s="9">
        <f>'Players Stats '!F17</f>
        <v>19</v>
      </c>
      <c r="R11" s="9">
        <f>'Players Stats '!G17</f>
        <v>5</v>
      </c>
      <c r="S11" s="9">
        <f>'Players Stats '!H17</f>
        <v>24</v>
      </c>
      <c r="T11" s="9">
        <f>'Players Stats '!I17</f>
        <v>56</v>
      </c>
      <c r="U11" s="30" t="str">
        <f>'Players Stats '!J17</f>
        <v>STH</v>
      </c>
      <c r="V11" s="10"/>
      <c r="W11" s="1"/>
      <c r="X11" s="2"/>
      <c r="Y11" s="1"/>
    </row>
    <row r="12" spans="1:30" ht="13.5" thickBot="1">
      <c r="A12" s="5"/>
      <c r="B12" s="50">
        <v>41518</v>
      </c>
      <c r="C12" s="8" t="s">
        <v>54</v>
      </c>
      <c r="D12" s="11" t="s">
        <v>72</v>
      </c>
      <c r="E12" s="53">
        <v>4</v>
      </c>
      <c r="F12" s="11" t="s">
        <v>73</v>
      </c>
      <c r="G12" s="53">
        <v>9</v>
      </c>
      <c r="H12" s="53"/>
      <c r="I12" s="77">
        <v>0.47916666666666669</v>
      </c>
      <c r="J12" s="76">
        <v>10</v>
      </c>
      <c r="K12" s="9"/>
      <c r="L12" s="39">
        <f>'Players Stats '!A18</f>
        <v>20</v>
      </c>
      <c r="M12" s="9" t="str">
        <f>'Players Stats '!B18</f>
        <v>D</v>
      </c>
      <c r="N12" s="10" t="str">
        <f>'Players Stats '!C18</f>
        <v>Matt</v>
      </c>
      <c r="O12" s="10" t="str">
        <f>'Players Stats '!D18</f>
        <v>Dodds</v>
      </c>
      <c r="P12" s="9">
        <f>'Players Stats '!E18</f>
        <v>12</v>
      </c>
      <c r="Q12" s="9">
        <f>'Players Stats '!F18</f>
        <v>13</v>
      </c>
      <c r="R12" s="9">
        <f>'Players Stats '!G18</f>
        <v>9</v>
      </c>
      <c r="S12" s="9">
        <f>'Players Stats '!H18</f>
        <v>22</v>
      </c>
      <c r="T12" s="9">
        <f>'Players Stats '!I18</f>
        <v>6</v>
      </c>
      <c r="U12" s="30" t="str">
        <f>'Players Stats '!J18</f>
        <v>STH</v>
      </c>
      <c r="V12" s="10"/>
      <c r="W12" s="1"/>
      <c r="X12" s="2"/>
      <c r="Y12" s="1"/>
    </row>
    <row r="13" spans="1:30" ht="12.75">
      <c r="A13" s="5" t="s">
        <v>18</v>
      </c>
      <c r="B13" s="49">
        <v>41524</v>
      </c>
      <c r="C13" s="6" t="s">
        <v>111</v>
      </c>
      <c r="D13" s="7" t="s">
        <v>71</v>
      </c>
      <c r="E13" s="52">
        <v>7</v>
      </c>
      <c r="F13" s="7" t="s">
        <v>72</v>
      </c>
      <c r="G13" s="52">
        <v>1</v>
      </c>
      <c r="H13" s="53"/>
      <c r="I13" s="77">
        <v>0.69791666666666663</v>
      </c>
      <c r="J13" s="76">
        <v>11</v>
      </c>
      <c r="K13" s="9"/>
      <c r="L13" s="39">
        <f>'Players Stats '!A19</f>
        <v>12</v>
      </c>
      <c r="M13" s="9" t="str">
        <f>'Players Stats '!B19</f>
        <v>F</v>
      </c>
      <c r="N13" s="10" t="str">
        <f>'Players Stats '!C19</f>
        <v>Mak</v>
      </c>
      <c r="O13" s="10" t="str">
        <f>'Players Stats '!D19</f>
        <v>Rawiri</v>
      </c>
      <c r="P13" s="9">
        <f>'Players Stats '!E19</f>
        <v>12</v>
      </c>
      <c r="Q13" s="9">
        <f>'Players Stats '!F19</f>
        <v>13</v>
      </c>
      <c r="R13" s="9">
        <f>'Players Stats '!G19</f>
        <v>7</v>
      </c>
      <c r="S13" s="9">
        <f>'Players Stats '!H19</f>
        <v>20</v>
      </c>
      <c r="T13" s="9">
        <f>'Players Stats '!I19</f>
        <v>4</v>
      </c>
      <c r="U13" s="30" t="str">
        <f>'Players Stats '!J19</f>
        <v>AKL</v>
      </c>
      <c r="V13" s="10"/>
      <c r="W13" s="1"/>
      <c r="X13" s="2"/>
      <c r="Y13" s="1"/>
    </row>
    <row r="14" spans="1:30" ht="13.5" thickBot="1">
      <c r="A14" s="5"/>
      <c r="B14" s="50">
        <v>41525</v>
      </c>
      <c r="C14" s="8" t="s">
        <v>111</v>
      </c>
      <c r="D14" s="11" t="s">
        <v>71</v>
      </c>
      <c r="E14" s="53">
        <v>6</v>
      </c>
      <c r="F14" s="11" t="s">
        <v>72</v>
      </c>
      <c r="G14" s="53">
        <v>5</v>
      </c>
      <c r="H14" s="53"/>
      <c r="I14" s="77">
        <v>0.34375</v>
      </c>
      <c r="J14" s="76">
        <v>12</v>
      </c>
      <c r="K14" s="9"/>
      <c r="L14" s="39">
        <f>'Players Stats '!A20</f>
        <v>8</v>
      </c>
      <c r="M14" s="9" t="str">
        <f>'Players Stats '!B20</f>
        <v>F</v>
      </c>
      <c r="N14" s="10" t="str">
        <f>'Players Stats '!C20</f>
        <v>Kristin</v>
      </c>
      <c r="O14" s="10" t="str">
        <f>'Players Stats '!D20</f>
        <v>Smith</v>
      </c>
      <c r="P14" s="9">
        <f>'Players Stats '!E20</f>
        <v>12</v>
      </c>
      <c r="Q14" s="9">
        <f>'Players Stats '!F20</f>
        <v>11</v>
      </c>
      <c r="R14" s="9">
        <f>'Players Stats '!G20</f>
        <v>9</v>
      </c>
      <c r="S14" s="9">
        <f>'Players Stats '!H20</f>
        <v>20</v>
      </c>
      <c r="T14" s="9">
        <f>'Players Stats '!I20</f>
        <v>20</v>
      </c>
      <c r="U14" s="30" t="str">
        <f>'Players Stats '!J20</f>
        <v>STH</v>
      </c>
      <c r="V14" s="10"/>
      <c r="W14" s="1"/>
      <c r="X14" s="2"/>
      <c r="Y14" s="1"/>
    </row>
    <row r="15" spans="1:30" ht="12.75">
      <c r="A15" s="5" t="s">
        <v>19</v>
      </c>
      <c r="B15" s="49">
        <v>41530</v>
      </c>
      <c r="C15" s="6" t="s">
        <v>112</v>
      </c>
      <c r="D15" s="7" t="s">
        <v>71</v>
      </c>
      <c r="E15" s="52">
        <v>5</v>
      </c>
      <c r="F15" s="7" t="s">
        <v>72</v>
      </c>
      <c r="G15" s="52">
        <v>4</v>
      </c>
      <c r="H15" s="53" t="s">
        <v>34</v>
      </c>
      <c r="I15" s="77">
        <v>0.32291666666666669</v>
      </c>
      <c r="J15" s="76">
        <v>13</v>
      </c>
      <c r="K15" s="9"/>
      <c r="L15" s="39">
        <f>'Players Stats '!A21</f>
        <v>3</v>
      </c>
      <c r="M15" s="9" t="str">
        <f>'Players Stats '!B21</f>
        <v>F</v>
      </c>
      <c r="N15" s="10" t="str">
        <f>'Players Stats '!C21</f>
        <v>Jansson</v>
      </c>
      <c r="O15" s="10" t="str">
        <f>'Players Stats '!D21</f>
        <v>Joshua</v>
      </c>
      <c r="P15" s="9">
        <f>'Players Stats '!E21</f>
        <v>12</v>
      </c>
      <c r="Q15" s="9">
        <f>'Players Stats '!F21</f>
        <v>14</v>
      </c>
      <c r="R15" s="9">
        <f>'Players Stats '!G21</f>
        <v>5</v>
      </c>
      <c r="S15" s="9">
        <f>'Players Stats '!H21</f>
        <v>19</v>
      </c>
      <c r="T15" s="9">
        <f>'Players Stats '!I21</f>
        <v>28</v>
      </c>
      <c r="U15" s="30" t="str">
        <f>'Players Stats '!J21</f>
        <v>AKL</v>
      </c>
      <c r="V15" s="10"/>
      <c r="W15" s="1"/>
      <c r="X15" s="2"/>
      <c r="Y15" s="1"/>
    </row>
    <row r="16" spans="1:30" ht="13.5" thickBot="1">
      <c r="A16" s="5"/>
      <c r="B16" s="51">
        <v>41530</v>
      </c>
      <c r="C16" s="8" t="s">
        <v>112</v>
      </c>
      <c r="D16" s="11" t="s">
        <v>72</v>
      </c>
      <c r="E16" s="53">
        <v>6</v>
      </c>
      <c r="F16" s="11" t="s">
        <v>73</v>
      </c>
      <c r="G16" s="53">
        <v>14</v>
      </c>
      <c r="H16" s="53"/>
      <c r="I16" s="77">
        <v>0.71875</v>
      </c>
      <c r="J16" s="76">
        <v>14</v>
      </c>
      <c r="K16" s="9"/>
      <c r="L16" s="39">
        <f>'Players Stats '!A22</f>
        <v>10</v>
      </c>
      <c r="M16" s="9" t="str">
        <f>'Players Stats '!B22</f>
        <v>F</v>
      </c>
      <c r="N16" s="10" t="str">
        <f>'Players Stats '!C22</f>
        <v>Liam</v>
      </c>
      <c r="O16" s="10" t="str">
        <f>'Players Stats '!D22</f>
        <v>Kinraid</v>
      </c>
      <c r="P16" s="9">
        <f>'Players Stats '!E22</f>
        <v>12</v>
      </c>
      <c r="Q16" s="9">
        <f>'Players Stats '!F22</f>
        <v>6</v>
      </c>
      <c r="R16" s="9">
        <f>'Players Stats '!G22</f>
        <v>12</v>
      </c>
      <c r="S16" s="9">
        <f>'Players Stats '!H22</f>
        <v>18</v>
      </c>
      <c r="T16" s="9">
        <f>'Players Stats '!I22</f>
        <v>16</v>
      </c>
      <c r="U16" s="30" t="str">
        <f>'Players Stats '!J22</f>
        <v>STH</v>
      </c>
      <c r="V16" s="10"/>
      <c r="W16" s="1"/>
      <c r="X16" s="2"/>
      <c r="Y16" s="1"/>
    </row>
    <row r="17" spans="1:25" ht="12.75">
      <c r="A17" s="5"/>
      <c r="B17" s="51">
        <v>41531</v>
      </c>
      <c r="C17" s="6" t="s">
        <v>112</v>
      </c>
      <c r="D17" s="11" t="s">
        <v>73</v>
      </c>
      <c r="E17" s="53">
        <v>5</v>
      </c>
      <c r="F17" s="11" t="s">
        <v>71</v>
      </c>
      <c r="G17" s="53">
        <v>4</v>
      </c>
      <c r="H17" s="53"/>
      <c r="I17" s="77">
        <v>0.42708333333333331</v>
      </c>
      <c r="J17" s="76">
        <v>15</v>
      </c>
      <c r="K17" s="9"/>
      <c r="L17" s="39">
        <f>'Players Stats '!A23</f>
        <v>16</v>
      </c>
      <c r="M17" s="9" t="str">
        <f>'Players Stats '!B23</f>
        <v>F</v>
      </c>
      <c r="N17" s="10" t="str">
        <f>'Players Stats '!C23</f>
        <v>Felipe</v>
      </c>
      <c r="O17" s="10" t="str">
        <f>'Players Stats '!D23</f>
        <v>Aguirre  Landshoeft</v>
      </c>
      <c r="P17" s="9">
        <f>'Players Stats '!E23</f>
        <v>12</v>
      </c>
      <c r="Q17" s="9">
        <f>'Players Stats '!F23</f>
        <v>7</v>
      </c>
      <c r="R17" s="9">
        <f>'Players Stats '!G23</f>
        <v>9</v>
      </c>
      <c r="S17" s="9">
        <f>'Players Stats '!H23</f>
        <v>16</v>
      </c>
      <c r="T17" s="9">
        <f>'Players Stats '!I23</f>
        <v>2</v>
      </c>
      <c r="U17" s="30" t="str">
        <f>'Players Stats '!J23</f>
        <v>AKL</v>
      </c>
      <c r="V17" s="10"/>
      <c r="W17" s="1"/>
      <c r="X17" s="2"/>
      <c r="Y17" s="1"/>
    </row>
    <row r="18" spans="1:25" ht="13.5" thickBot="1">
      <c r="B18" s="51">
        <v>41531</v>
      </c>
      <c r="C18" s="8" t="s">
        <v>112</v>
      </c>
      <c r="D18" s="11" t="s">
        <v>73</v>
      </c>
      <c r="E18" s="53">
        <v>10</v>
      </c>
      <c r="F18" s="11" t="s">
        <v>72</v>
      </c>
      <c r="G18" s="53">
        <v>4</v>
      </c>
      <c r="H18" s="53"/>
      <c r="I18" s="77">
        <v>0.69791666666666663</v>
      </c>
      <c r="J18" s="76">
        <v>16</v>
      </c>
      <c r="K18" s="9"/>
      <c r="L18" s="39">
        <f>'Players Stats '!A24</f>
        <v>14</v>
      </c>
      <c r="M18" s="9" t="str">
        <f>'Players Stats '!B24</f>
        <v>F</v>
      </c>
      <c r="N18" s="10" t="str">
        <f>'Players Stats '!C24</f>
        <v>Leon</v>
      </c>
      <c r="O18" s="10" t="str">
        <f>'Players Stats '!D24</f>
        <v>Forgues (A)</v>
      </c>
      <c r="P18" s="9">
        <f>'Players Stats '!E24</f>
        <v>12</v>
      </c>
      <c r="Q18" s="9">
        <f>'Players Stats '!F24</f>
        <v>10</v>
      </c>
      <c r="R18" s="9">
        <f>'Players Stats '!G24</f>
        <v>5</v>
      </c>
      <c r="S18" s="9">
        <f>'Players Stats '!H24</f>
        <v>15</v>
      </c>
      <c r="T18" s="9">
        <f>'Players Stats '!I24</f>
        <v>6</v>
      </c>
      <c r="U18" s="30" t="str">
        <f>'Players Stats '!J24</f>
        <v>CANT</v>
      </c>
      <c r="V18" s="10"/>
      <c r="W18" s="1"/>
      <c r="X18" s="2"/>
      <c r="Y18" s="1"/>
    </row>
    <row r="19" spans="1:25" ht="12.75">
      <c r="A19" s="5"/>
      <c r="B19" s="51">
        <v>41532</v>
      </c>
      <c r="C19" s="6" t="s">
        <v>112</v>
      </c>
      <c r="D19" s="11" t="s">
        <v>72</v>
      </c>
      <c r="E19" s="53">
        <v>3</v>
      </c>
      <c r="F19" s="11" t="s">
        <v>71</v>
      </c>
      <c r="G19" s="53">
        <v>4</v>
      </c>
      <c r="H19" s="53"/>
      <c r="I19" s="77">
        <v>0.35416666666666669</v>
      </c>
      <c r="J19" s="76">
        <v>17</v>
      </c>
      <c r="K19" s="9"/>
      <c r="L19" s="39">
        <f>'Players Stats '!A25</f>
        <v>28</v>
      </c>
      <c r="M19" s="9" t="str">
        <f>'Players Stats '!B25</f>
        <v>F</v>
      </c>
      <c r="N19" s="10" t="str">
        <f>'Players Stats '!C25</f>
        <v>Shaun</v>
      </c>
      <c r="O19" s="10" t="str">
        <f>'Players Stats '!D25</f>
        <v>Brown ©</v>
      </c>
      <c r="P19" s="9">
        <f>'Players Stats '!E25</f>
        <v>12</v>
      </c>
      <c r="Q19" s="9">
        <f>'Players Stats '!F25</f>
        <v>10</v>
      </c>
      <c r="R19" s="9">
        <f>'Players Stats '!G25</f>
        <v>5</v>
      </c>
      <c r="S19" s="9">
        <f>'Players Stats '!H25</f>
        <v>15</v>
      </c>
      <c r="T19" s="9">
        <f>'Players Stats '!I25</f>
        <v>20</v>
      </c>
      <c r="U19" s="30" t="str">
        <f>'Players Stats '!J25</f>
        <v>CANT</v>
      </c>
      <c r="V19" s="10"/>
      <c r="W19" s="1"/>
      <c r="X19" s="2"/>
      <c r="Y19" s="1"/>
    </row>
    <row r="20" spans="1:25" ht="13.5" thickBot="1">
      <c r="B20" s="51">
        <v>41532</v>
      </c>
      <c r="C20" s="8" t="s">
        <v>112</v>
      </c>
      <c r="D20" s="11" t="s">
        <v>71</v>
      </c>
      <c r="E20" s="53">
        <v>3</v>
      </c>
      <c r="F20" s="11" t="s">
        <v>73</v>
      </c>
      <c r="G20" s="53">
        <v>5</v>
      </c>
      <c r="H20" s="53"/>
      <c r="I20" s="77">
        <v>0.75</v>
      </c>
      <c r="J20" s="76">
        <v>18</v>
      </c>
    </row>
    <row r="21" spans="1:25" ht="13.5" thickBot="1">
      <c r="B21" s="13"/>
      <c r="F21" s="2"/>
      <c r="G21" s="9"/>
      <c r="H21" s="9"/>
      <c r="I21" s="9"/>
      <c r="J21" s="9"/>
      <c r="K21" s="75" t="s">
        <v>41</v>
      </c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33"/>
      <c r="W21" s="34"/>
      <c r="X21" s="35"/>
      <c r="Y21" s="1"/>
    </row>
    <row r="22" spans="1:25">
      <c r="B22" s="13"/>
      <c r="F22" s="2"/>
      <c r="G22" s="9"/>
      <c r="H22" s="9"/>
      <c r="I22" s="9"/>
      <c r="K22" s="40" t="s">
        <v>20</v>
      </c>
      <c r="L22" s="47" t="s">
        <v>22</v>
      </c>
      <c r="M22" s="47"/>
      <c r="N22" s="22" t="s">
        <v>11</v>
      </c>
      <c r="O22" s="22" t="s">
        <v>13</v>
      </c>
      <c r="P22" s="22" t="s">
        <v>31</v>
      </c>
      <c r="Q22" s="22" t="s">
        <v>32</v>
      </c>
      <c r="R22" s="22" t="s">
        <v>33</v>
      </c>
      <c r="S22" s="22" t="s">
        <v>67</v>
      </c>
      <c r="T22" s="22" t="s">
        <v>34</v>
      </c>
      <c r="U22" s="22" t="s">
        <v>35</v>
      </c>
      <c r="V22" s="22" t="s">
        <v>36</v>
      </c>
      <c r="W22" s="22" t="s">
        <v>29</v>
      </c>
      <c r="X22" s="31" t="s">
        <v>39</v>
      </c>
      <c r="Y22" s="1"/>
    </row>
    <row r="23" spans="1:25">
      <c r="B23" s="13"/>
      <c r="F23" s="2"/>
      <c r="G23" s="9"/>
      <c r="H23" s="9"/>
      <c r="I23" s="9"/>
      <c r="K23" s="39">
        <f>'Goalie Stats'!A18</f>
        <v>9</v>
      </c>
      <c r="L23" s="10" t="str">
        <f>'Goalie Stats'!B18</f>
        <v>Drew</v>
      </c>
      <c r="M23" s="10" t="str">
        <f>'Goalie Stats'!C18</f>
        <v>Kinney</v>
      </c>
      <c r="N23" s="9">
        <f>'Goalie Stats'!D18</f>
        <v>12</v>
      </c>
      <c r="O23" s="9">
        <f>'Goalie Stats'!E18</f>
        <v>39</v>
      </c>
      <c r="P23" s="9">
        <f>'Goalie Stats'!F18</f>
        <v>261</v>
      </c>
      <c r="Q23" s="25">
        <f>'Goalie Stats'!G18</f>
        <v>85.057471264367805</v>
      </c>
      <c r="R23" s="25">
        <f>'Goalie Stats'!H18</f>
        <v>525.56999999999994</v>
      </c>
      <c r="S23" s="25">
        <f>'Goalie Stats'!I18</f>
        <v>3.710257434785091</v>
      </c>
      <c r="T23" s="9">
        <f>'Goalie Stats'!J18</f>
        <v>0</v>
      </c>
      <c r="U23" s="9">
        <f>'Goalie Stats'!K18</f>
        <v>7</v>
      </c>
      <c r="V23" s="9">
        <f>'Goalie Stats'!L18</f>
        <v>1</v>
      </c>
      <c r="W23" s="9">
        <f>'Goalie Stats'!M18</f>
        <v>0</v>
      </c>
      <c r="X23" s="32" t="str">
        <f>'Goalie Stats'!N18</f>
        <v>STH</v>
      </c>
      <c r="Y23" s="1"/>
    </row>
    <row r="24" spans="1:25">
      <c r="B24" s="13"/>
      <c r="F24" s="2"/>
      <c r="G24" s="9"/>
      <c r="H24" s="9"/>
      <c r="I24" s="9"/>
      <c r="K24" s="39">
        <f>'Goalie Stats'!A19</f>
        <v>20</v>
      </c>
      <c r="L24" s="10" t="str">
        <f>'Goalie Stats'!B19</f>
        <v>Cole</v>
      </c>
      <c r="M24" s="10" t="str">
        <f>'Goalie Stats'!C19</f>
        <v>Kolisnyk</v>
      </c>
      <c r="N24" s="9">
        <f>'Goalie Stats'!D19</f>
        <v>12</v>
      </c>
      <c r="O24" s="9">
        <f>'Goalie Stats'!E19</f>
        <v>25</v>
      </c>
      <c r="P24" s="9">
        <f>'Goalie Stats'!F19</f>
        <v>150</v>
      </c>
      <c r="Q24" s="25">
        <f>'Goalie Stats'!G19</f>
        <v>83.33</v>
      </c>
      <c r="R24" s="25">
        <f>'Goalie Stats'!H19</f>
        <v>331.17</v>
      </c>
      <c r="S24" s="25">
        <f>'Goalie Stats'!I19</f>
        <v>3.3970468339523507</v>
      </c>
      <c r="T24" s="9">
        <f>'Goalie Stats'!J19</f>
        <v>0</v>
      </c>
      <c r="U24" s="9">
        <f>'Goalie Stats'!K19</f>
        <v>5</v>
      </c>
      <c r="V24" s="9">
        <f>'Goalie Stats'!L19</f>
        <v>0</v>
      </c>
      <c r="W24" s="9">
        <f>'Goalie Stats'!M19</f>
        <v>1</v>
      </c>
      <c r="X24" s="32" t="str">
        <f>'Goalie Stats'!N19</f>
        <v>AKL</v>
      </c>
      <c r="Y24" s="1"/>
    </row>
    <row r="25" spans="1:25">
      <c r="B25" s="13"/>
      <c r="F25" s="2"/>
      <c r="G25" s="9"/>
      <c r="H25" s="9"/>
      <c r="I25" s="9"/>
      <c r="K25" s="39">
        <f>'Goalie Stats'!A20</f>
        <v>1</v>
      </c>
      <c r="L25" s="10" t="str">
        <f>'Goalie Stats'!B20</f>
        <v>Evan</v>
      </c>
      <c r="M25" s="10" t="str">
        <f>'Goalie Stats'!C20</f>
        <v>Froger</v>
      </c>
      <c r="N25" s="9">
        <f>'Goalie Stats'!D20</f>
        <v>12</v>
      </c>
      <c r="O25" s="9">
        <f>'Goalie Stats'!E20</f>
        <v>26</v>
      </c>
      <c r="P25" s="9">
        <f>'Goalie Stats'!F20</f>
        <v>140</v>
      </c>
      <c r="Q25" s="25">
        <f>'Goalie Stats'!G20</f>
        <v>81.428571428571431</v>
      </c>
      <c r="R25" s="25">
        <f>'Goalie Stats'!H20</f>
        <v>264.40999999999997</v>
      </c>
      <c r="S25" s="25">
        <f>'Goalie Stats'!I20</f>
        <v>4.4249461064256277</v>
      </c>
      <c r="T25" s="9">
        <f>'Goalie Stats'!J20</f>
        <v>0</v>
      </c>
      <c r="U25" s="9">
        <f>'Goalie Stats'!K20</f>
        <v>5</v>
      </c>
      <c r="V25" s="9">
        <f>'Goalie Stats'!L20</f>
        <v>3</v>
      </c>
      <c r="W25" s="9">
        <f>'Goalie Stats'!M20</f>
        <v>0</v>
      </c>
      <c r="X25" s="32" t="str">
        <f>'Goalie Stats'!N20</f>
        <v>AKL</v>
      </c>
      <c r="Y25" s="1"/>
    </row>
    <row r="26" spans="1:25">
      <c r="B26" s="13"/>
      <c r="F26" s="2"/>
      <c r="G26" s="9"/>
      <c r="H26" s="9"/>
      <c r="I26" s="9"/>
    </row>
    <row r="27" spans="1:25">
      <c r="B27" s="13"/>
      <c r="F27" s="2"/>
      <c r="G27" s="9"/>
      <c r="H27" s="9"/>
      <c r="I27" s="9"/>
    </row>
    <row r="28" spans="1:25">
      <c r="B28" s="13"/>
      <c r="F28" s="2"/>
      <c r="G28" s="9"/>
      <c r="H28" s="9"/>
      <c r="I28" s="9"/>
    </row>
    <row r="29" spans="1:25">
      <c r="B29" s="13"/>
      <c r="F29" s="2"/>
      <c r="G29" s="9"/>
      <c r="H29" s="9"/>
      <c r="I29" s="9"/>
      <c r="M29" s="2" t="s">
        <v>56</v>
      </c>
    </row>
    <row r="30" spans="1:25">
      <c r="B30" s="13"/>
      <c r="F30" s="2"/>
      <c r="G30" s="9"/>
      <c r="H30" s="9"/>
      <c r="I30" s="9"/>
      <c r="M30" s="2" t="s">
        <v>58</v>
      </c>
    </row>
    <row r="31" spans="1:25">
      <c r="B31" s="13"/>
      <c r="F31" s="2"/>
      <c r="G31" s="9"/>
      <c r="H31" s="9"/>
      <c r="I31" s="9"/>
      <c r="M31" s="2" t="s">
        <v>57</v>
      </c>
    </row>
    <row r="32" spans="1:25">
      <c r="B32" s="13"/>
      <c r="F32" s="2"/>
      <c r="G32" s="9"/>
      <c r="H32" s="9"/>
      <c r="I32" s="9"/>
      <c r="M32" s="2" t="s">
        <v>59</v>
      </c>
    </row>
    <row r="33" spans="1:13" ht="18">
      <c r="B33" s="13"/>
      <c r="C33" s="71"/>
      <c r="D33" s="71"/>
      <c r="F33" s="2"/>
      <c r="G33" s="9"/>
      <c r="H33" s="9"/>
      <c r="I33" s="9"/>
      <c r="M33" s="2" t="s">
        <v>60</v>
      </c>
    </row>
    <row r="34" spans="1:13" ht="20.25">
      <c r="B34" s="90" t="s">
        <v>157</v>
      </c>
      <c r="C34" s="71"/>
      <c r="F34" s="2"/>
      <c r="G34" s="9"/>
      <c r="H34" s="9"/>
      <c r="I34" s="9"/>
      <c r="M34" s="2" t="s">
        <v>78</v>
      </c>
    </row>
    <row r="35" spans="1:13">
      <c r="B35" s="13"/>
      <c r="F35" s="2"/>
      <c r="G35" s="9"/>
      <c r="H35" s="9"/>
      <c r="I35" s="9"/>
      <c r="M35" s="2" t="s">
        <v>61</v>
      </c>
    </row>
    <row r="36" spans="1:13" ht="12.75">
      <c r="B36" s="72" t="s">
        <v>107</v>
      </c>
      <c r="D36" s="72" t="s">
        <v>261</v>
      </c>
      <c r="E36" s="72"/>
      <c r="F36" s="72"/>
      <c r="G36" s="9"/>
      <c r="H36" s="9"/>
      <c r="I36" s="9"/>
      <c r="M36" s="2" t="s">
        <v>62</v>
      </c>
    </row>
    <row r="37" spans="1:13" ht="12.75">
      <c r="B37" s="72"/>
      <c r="D37" s="72"/>
      <c r="E37" s="72"/>
      <c r="F37" s="72"/>
      <c r="G37" s="9"/>
      <c r="H37" s="9"/>
      <c r="I37" s="9"/>
      <c r="K37" s="2"/>
    </row>
    <row r="38" spans="1:13" ht="12.75">
      <c r="B38" s="72" t="s">
        <v>154</v>
      </c>
      <c r="D38" s="72" t="s">
        <v>267</v>
      </c>
      <c r="E38" s="72"/>
      <c r="F38" s="72"/>
      <c r="G38" s="9"/>
      <c r="H38" s="9"/>
      <c r="I38" s="9"/>
      <c r="K38" s="2"/>
    </row>
    <row r="39" spans="1:13" ht="12.75">
      <c r="B39" s="72"/>
      <c r="D39" s="72"/>
      <c r="E39" s="72"/>
      <c r="F39" s="72"/>
    </row>
    <row r="40" spans="1:13" ht="12.75">
      <c r="B40" s="72" t="s">
        <v>155</v>
      </c>
      <c r="D40" s="72" t="s">
        <v>263</v>
      </c>
      <c r="E40" s="72"/>
      <c r="F40" s="72"/>
    </row>
    <row r="41" spans="1:13" ht="12.75">
      <c r="B41" s="72"/>
      <c r="D41" s="72"/>
      <c r="E41" s="72"/>
      <c r="F41" s="72"/>
    </row>
    <row r="42" spans="1:13" ht="12.75">
      <c r="B42" s="72" t="s">
        <v>108</v>
      </c>
      <c r="D42" s="72" t="s">
        <v>262</v>
      </c>
      <c r="E42" s="72"/>
      <c r="F42" s="72"/>
    </row>
    <row r="43" spans="1:13" ht="12.75">
      <c r="B43" s="72"/>
      <c r="D43" s="72"/>
      <c r="E43" s="72"/>
      <c r="F43" s="72"/>
    </row>
    <row r="44" spans="1:13" ht="12.75">
      <c r="B44" s="72" t="s">
        <v>109</v>
      </c>
      <c r="D44" s="72" t="s">
        <v>261</v>
      </c>
      <c r="E44" s="72"/>
      <c r="F44" s="72"/>
    </row>
    <row r="45" spans="1:13" ht="12.75">
      <c r="B45" s="72"/>
    </row>
    <row r="46" spans="1:13" ht="12.75">
      <c r="B46" s="72"/>
    </row>
    <row r="47" spans="1:13" ht="12.75">
      <c r="A47" s="72" t="s">
        <v>110</v>
      </c>
      <c r="D47" s="72" t="s">
        <v>71</v>
      </c>
      <c r="E47" s="72" t="s">
        <v>264</v>
      </c>
    </row>
    <row r="49" spans="4:6" ht="12.75">
      <c r="D49" s="72" t="s">
        <v>72</v>
      </c>
      <c r="E49" s="72" t="s">
        <v>266</v>
      </c>
      <c r="F49" s="72"/>
    </row>
    <row r="50" spans="4:6" ht="12.75">
      <c r="D50" s="72"/>
      <c r="E50" s="72"/>
      <c r="F50" s="72"/>
    </row>
    <row r="51" spans="4:6" ht="12.75">
      <c r="D51" s="72" t="s">
        <v>73</v>
      </c>
      <c r="E51" s="72" t="s">
        <v>265</v>
      </c>
      <c r="F51" s="72"/>
    </row>
    <row r="52" spans="4:6" ht="12.75">
      <c r="D52" s="72"/>
      <c r="E52" s="72"/>
      <c r="F52" s="72"/>
    </row>
    <row r="53" spans="4:6" ht="12.75">
      <c r="D53" s="72"/>
      <c r="E53" s="72"/>
      <c r="F53" s="72"/>
    </row>
    <row r="54" spans="4:6" ht="12.75">
      <c r="D54" s="72"/>
      <c r="E54" s="72"/>
      <c r="F54" s="72"/>
    </row>
  </sheetData>
  <autoFilter ref="B2:J25"/>
  <sortState ref="L4:V6">
    <sortCondition descending="1" ref="V4:V6"/>
    <sortCondition descending="1" ref="P4:P6"/>
  </sortState>
  <mergeCells count="1">
    <mergeCell ref="B1:G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9"/>
  <sheetViews>
    <sheetView workbookViewId="0">
      <selection activeCell="F30" sqref="F30"/>
    </sheetView>
  </sheetViews>
  <sheetFormatPr defaultColWidth="9.140625" defaultRowHeight="11.25"/>
  <cols>
    <col min="1" max="1" width="4.7109375" style="2" customWidth="1"/>
    <col min="2" max="2" width="4.7109375" style="1" customWidth="1"/>
    <col min="3" max="3" width="10.140625" style="2" bestFit="1" customWidth="1"/>
    <col min="4" max="4" width="11.42578125" style="2" customWidth="1"/>
    <col min="5" max="7" width="6.7109375" style="14" customWidth="1"/>
    <col min="8" max="8" width="8.28515625" style="14" bestFit="1" customWidth="1"/>
    <col min="9" max="9" width="5.28515625" style="14" customWidth="1"/>
    <col min="10" max="10" width="6.28515625" style="14" customWidth="1"/>
    <col min="11" max="13" width="5.7109375" style="14" customWidth="1"/>
    <col min="14" max="14" width="6.140625" style="14" bestFit="1" customWidth="1"/>
    <col min="15" max="15" width="5.85546875" style="14" bestFit="1" customWidth="1"/>
    <col min="16" max="16" width="5.42578125" style="14" bestFit="1" customWidth="1"/>
    <col min="17" max="17" width="6.5703125" style="14" customWidth="1"/>
    <col min="18" max="18" width="5" style="14" customWidth="1"/>
    <col min="19" max="19" width="4.28515625" style="14" customWidth="1"/>
    <col min="20" max="20" width="9.140625" style="14"/>
    <col min="21" max="21" width="16.85546875" style="14" bestFit="1" customWidth="1"/>
    <col min="22" max="16384" width="9.140625" style="14"/>
  </cols>
  <sheetData>
    <row r="1" spans="1:19" ht="15.75">
      <c r="A1" s="92" t="s">
        <v>191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9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9">
      <c r="A3" s="15" t="s">
        <v>20</v>
      </c>
      <c r="B3" s="16" t="s">
        <v>21</v>
      </c>
      <c r="C3" s="15" t="s">
        <v>64</v>
      </c>
      <c r="D3" s="15" t="s">
        <v>65</v>
      </c>
      <c r="E3" s="16" t="s">
        <v>11</v>
      </c>
      <c r="F3" s="16" t="s">
        <v>23</v>
      </c>
      <c r="G3" s="16" t="s">
        <v>24</v>
      </c>
      <c r="H3" s="16" t="s">
        <v>16</v>
      </c>
      <c r="I3" s="16" t="s">
        <v>106</v>
      </c>
      <c r="J3" s="16" t="s">
        <v>105</v>
      </c>
      <c r="K3" s="16" t="s">
        <v>102</v>
      </c>
      <c r="L3" s="16" t="s">
        <v>103</v>
      </c>
      <c r="M3" s="16" t="s">
        <v>104</v>
      </c>
      <c r="N3" s="16"/>
      <c r="O3" s="16" t="s">
        <v>26</v>
      </c>
      <c r="P3" s="16" t="s">
        <v>46</v>
      </c>
      <c r="Q3" s="16" t="s">
        <v>27</v>
      </c>
      <c r="R3" s="16" t="s">
        <v>47</v>
      </c>
      <c r="S3" s="15" t="s">
        <v>124</v>
      </c>
    </row>
    <row r="4" spans="1:19">
      <c r="A4" s="12">
        <v>4</v>
      </c>
      <c r="B4" s="12" t="s">
        <v>29</v>
      </c>
      <c r="C4" s="78" t="s">
        <v>197</v>
      </c>
      <c r="D4" s="18" t="s">
        <v>198</v>
      </c>
      <c r="E4" s="12">
        <f>1+1+1+1+1+1+1+1+1+1+1+1</f>
        <v>12</v>
      </c>
      <c r="F4" s="61"/>
      <c r="G4" s="62">
        <f>1</f>
        <v>1</v>
      </c>
      <c r="H4" s="46">
        <f t="shared" ref="H4:H26" si="0">F4+G4</f>
        <v>1</v>
      </c>
      <c r="I4" s="63">
        <f t="shared" ref="I4:I26" si="1">SUM(J4:M4)</f>
        <v>0</v>
      </c>
      <c r="J4" s="63"/>
      <c r="K4" s="63"/>
      <c r="L4" s="63"/>
      <c r="M4" s="63"/>
      <c r="N4" s="24" t="s">
        <v>77</v>
      </c>
      <c r="O4" s="12"/>
      <c r="P4" s="12"/>
      <c r="Q4" s="12"/>
      <c r="R4" s="12"/>
      <c r="S4" s="2" t="s">
        <v>125</v>
      </c>
    </row>
    <row r="5" spans="1:19">
      <c r="A5" s="12">
        <v>8</v>
      </c>
      <c r="B5" s="12" t="s">
        <v>29</v>
      </c>
      <c r="C5" s="78" t="s">
        <v>202</v>
      </c>
      <c r="D5" s="18" t="s">
        <v>203</v>
      </c>
      <c r="E5" s="12">
        <f>1+1+1+1+1+1+1+1+1+1</f>
        <v>10</v>
      </c>
      <c r="F5" s="61"/>
      <c r="G5" s="62"/>
      <c r="H5" s="46">
        <f t="shared" si="0"/>
        <v>0</v>
      </c>
      <c r="I5" s="63">
        <f t="shared" si="1"/>
        <v>0</v>
      </c>
      <c r="J5" s="63"/>
      <c r="K5" s="63"/>
      <c r="L5" s="63"/>
      <c r="M5" s="63"/>
      <c r="N5" s="24" t="s">
        <v>77</v>
      </c>
      <c r="O5" s="12"/>
      <c r="P5" s="12"/>
      <c r="Q5" s="12"/>
      <c r="R5" s="12"/>
      <c r="S5" s="2" t="s">
        <v>125</v>
      </c>
    </row>
    <row r="6" spans="1:19">
      <c r="A6" s="12">
        <v>12</v>
      </c>
      <c r="B6" s="12" t="s">
        <v>29</v>
      </c>
      <c r="C6" s="78" t="s">
        <v>206</v>
      </c>
      <c r="D6" s="18" t="s">
        <v>207</v>
      </c>
      <c r="E6" s="12">
        <f>1+1+1+1+1+1</f>
        <v>6</v>
      </c>
      <c r="F6" s="61"/>
      <c r="G6" s="62">
        <f>1</f>
        <v>1</v>
      </c>
      <c r="H6" s="46">
        <f t="shared" si="0"/>
        <v>1</v>
      </c>
      <c r="I6" s="63">
        <f t="shared" si="1"/>
        <v>2</v>
      </c>
      <c r="J6" s="63">
        <f>2</f>
        <v>2</v>
      </c>
      <c r="K6" s="63"/>
      <c r="L6" s="63"/>
      <c r="M6" s="63"/>
      <c r="N6" s="24" t="s">
        <v>77</v>
      </c>
      <c r="O6" s="12"/>
      <c r="P6" s="12"/>
      <c r="Q6" s="12"/>
      <c r="R6" s="12"/>
      <c r="S6" s="2" t="s">
        <v>125</v>
      </c>
    </row>
    <row r="7" spans="1:19">
      <c r="A7" s="12">
        <v>16</v>
      </c>
      <c r="B7" s="12" t="s">
        <v>29</v>
      </c>
      <c r="C7" s="78" t="s">
        <v>81</v>
      </c>
      <c r="D7" s="18" t="s">
        <v>192</v>
      </c>
      <c r="E7" s="12">
        <f>1+1+1+1+1+1+1+1+1+1+1+1</f>
        <v>12</v>
      </c>
      <c r="F7" s="61"/>
      <c r="G7" s="62">
        <f>1</f>
        <v>1</v>
      </c>
      <c r="H7" s="46">
        <f t="shared" si="0"/>
        <v>1</v>
      </c>
      <c r="I7" s="63">
        <f t="shared" si="1"/>
        <v>0</v>
      </c>
      <c r="J7" s="63"/>
      <c r="K7" s="63"/>
      <c r="L7" s="63"/>
      <c r="M7" s="63"/>
      <c r="N7" s="24" t="s">
        <v>77</v>
      </c>
      <c r="O7" s="12"/>
      <c r="P7" s="12"/>
      <c r="Q7" s="12"/>
      <c r="R7" s="12">
        <f>1</f>
        <v>1</v>
      </c>
      <c r="S7" s="2" t="s">
        <v>125</v>
      </c>
    </row>
    <row r="8" spans="1:19">
      <c r="A8" s="12">
        <v>17</v>
      </c>
      <c r="B8" s="12" t="s">
        <v>29</v>
      </c>
      <c r="C8" s="78" t="s">
        <v>119</v>
      </c>
      <c r="D8" s="17" t="s">
        <v>113</v>
      </c>
      <c r="E8" s="12">
        <f>1+1+1+1+1+1+1+1+1+1+1+1</f>
        <v>12</v>
      </c>
      <c r="F8" s="61">
        <f>1</f>
        <v>1</v>
      </c>
      <c r="G8" s="62">
        <f>1</f>
        <v>1</v>
      </c>
      <c r="H8" s="46">
        <f t="shared" si="0"/>
        <v>2</v>
      </c>
      <c r="I8" s="63">
        <f t="shared" si="1"/>
        <v>12</v>
      </c>
      <c r="J8" s="63">
        <f>2+2+2+2+2+2</f>
        <v>12</v>
      </c>
      <c r="K8" s="63"/>
      <c r="L8" s="63"/>
      <c r="M8" s="63"/>
      <c r="N8" s="24" t="s">
        <v>77</v>
      </c>
      <c r="O8" s="12"/>
      <c r="P8" s="12"/>
      <c r="Q8" s="12"/>
      <c r="R8" s="12"/>
      <c r="S8" s="2" t="s">
        <v>125</v>
      </c>
    </row>
    <row r="9" spans="1:19">
      <c r="A9" s="12">
        <v>23</v>
      </c>
      <c r="B9" s="12" t="s">
        <v>29</v>
      </c>
      <c r="C9" s="78" t="s">
        <v>122</v>
      </c>
      <c r="D9" s="18" t="s">
        <v>115</v>
      </c>
      <c r="E9" s="12">
        <f>1+1+1+1+1+1+1+1+1+1</f>
        <v>10</v>
      </c>
      <c r="F9" s="61"/>
      <c r="G9" s="62">
        <f>1+1</f>
        <v>2</v>
      </c>
      <c r="H9" s="46">
        <f t="shared" si="0"/>
        <v>2</v>
      </c>
      <c r="I9" s="63">
        <f t="shared" si="1"/>
        <v>8</v>
      </c>
      <c r="J9" s="63">
        <f>2+2+2+2</f>
        <v>8</v>
      </c>
      <c r="K9" s="63"/>
      <c r="L9" s="63"/>
      <c r="M9" s="63"/>
      <c r="N9" s="24" t="s">
        <v>77</v>
      </c>
      <c r="O9" s="12"/>
      <c r="P9" s="12">
        <f>1</f>
        <v>1</v>
      </c>
      <c r="Q9" s="12"/>
      <c r="R9" s="12"/>
      <c r="S9" s="2" t="s">
        <v>125</v>
      </c>
    </row>
    <row r="10" spans="1:19">
      <c r="A10" s="12">
        <v>24</v>
      </c>
      <c r="B10" s="12" t="s">
        <v>29</v>
      </c>
      <c r="C10" s="80" t="s">
        <v>63</v>
      </c>
      <c r="D10" s="17" t="s">
        <v>117</v>
      </c>
      <c r="E10" s="12">
        <f>1+1+1+1+1+1+1+1+1</f>
        <v>9</v>
      </c>
      <c r="F10" s="61"/>
      <c r="G10" s="62"/>
      <c r="H10" s="46">
        <f t="shared" si="0"/>
        <v>0</v>
      </c>
      <c r="I10" s="63">
        <f t="shared" si="1"/>
        <v>12</v>
      </c>
      <c r="J10" s="63">
        <f>2+2+2+2+2+2</f>
        <v>12</v>
      </c>
      <c r="K10" s="63"/>
      <c r="L10" s="63"/>
      <c r="M10" s="63"/>
      <c r="N10" s="24" t="s">
        <v>77</v>
      </c>
      <c r="O10" s="12"/>
      <c r="P10" s="12"/>
      <c r="Q10" s="12"/>
      <c r="R10" s="12"/>
      <c r="S10" s="2" t="s">
        <v>125</v>
      </c>
    </row>
    <row r="11" spans="1:19">
      <c r="A11" s="12">
        <v>27</v>
      </c>
      <c r="B11" s="12" t="s">
        <v>29</v>
      </c>
      <c r="C11" s="78" t="s">
        <v>94</v>
      </c>
      <c r="D11" s="18" t="s">
        <v>92</v>
      </c>
      <c r="E11" s="12">
        <f>1+1+1+1+1+1+1+1+1+1+1</f>
        <v>11</v>
      </c>
      <c r="F11" s="61">
        <f>1+1+1+1+1+1</f>
        <v>6</v>
      </c>
      <c r="G11" s="62"/>
      <c r="H11" s="46">
        <f t="shared" si="0"/>
        <v>6</v>
      </c>
      <c r="I11" s="63">
        <f t="shared" si="1"/>
        <v>32</v>
      </c>
      <c r="J11" s="63">
        <f>2+2+2+2+2+2+2+2+2+2+2</f>
        <v>22</v>
      </c>
      <c r="K11" s="63"/>
      <c r="L11" s="63">
        <f>10</f>
        <v>10</v>
      </c>
      <c r="M11" s="63"/>
      <c r="N11" s="24" t="s">
        <v>77</v>
      </c>
      <c r="O11" s="12">
        <f>1</f>
        <v>1</v>
      </c>
      <c r="P11" s="12"/>
      <c r="Q11" s="12"/>
      <c r="R11" s="12"/>
      <c r="S11" s="2" t="s">
        <v>125</v>
      </c>
    </row>
    <row r="12" spans="1:19">
      <c r="A12" s="12">
        <v>31</v>
      </c>
      <c r="B12" s="12" t="s">
        <v>29</v>
      </c>
      <c r="C12" s="78" t="s">
        <v>208</v>
      </c>
      <c r="D12" s="18" t="s">
        <v>196</v>
      </c>
      <c r="E12" s="12">
        <f>1+1</f>
        <v>2</v>
      </c>
      <c r="F12" s="61"/>
      <c r="G12" s="62"/>
      <c r="H12" s="46">
        <f t="shared" si="0"/>
        <v>0</v>
      </c>
      <c r="I12" s="63">
        <f t="shared" si="1"/>
        <v>0</v>
      </c>
      <c r="J12" s="63"/>
      <c r="K12" s="63"/>
      <c r="L12" s="63"/>
      <c r="M12" s="63"/>
      <c r="N12" s="24" t="s">
        <v>77</v>
      </c>
      <c r="O12" s="12"/>
      <c r="P12" s="12"/>
      <c r="Q12" s="12"/>
      <c r="R12" s="12"/>
      <c r="S12" s="2" t="s">
        <v>125</v>
      </c>
    </row>
    <row r="13" spans="1:19">
      <c r="A13" s="12">
        <v>2</v>
      </c>
      <c r="B13" s="12" t="s">
        <v>28</v>
      </c>
      <c r="C13" s="78" t="s">
        <v>120</v>
      </c>
      <c r="D13" s="18" t="s">
        <v>85</v>
      </c>
      <c r="E13" s="12">
        <f t="shared" ref="E13:E18" si="2">1+1+1+1+1+1+1+1+1+1+1+1</f>
        <v>12</v>
      </c>
      <c r="F13" s="61">
        <f>1</f>
        <v>1</v>
      </c>
      <c r="G13" s="62">
        <f>1+1</f>
        <v>2</v>
      </c>
      <c r="H13" s="46">
        <f t="shared" si="0"/>
        <v>3</v>
      </c>
      <c r="I13" s="63">
        <f t="shared" si="1"/>
        <v>0</v>
      </c>
      <c r="J13" s="63"/>
      <c r="K13" s="63"/>
      <c r="L13" s="63"/>
      <c r="M13" s="63"/>
      <c r="N13" s="24" t="s">
        <v>77</v>
      </c>
      <c r="O13" s="12"/>
      <c r="P13" s="12"/>
      <c r="Q13" s="12"/>
      <c r="R13" s="12"/>
      <c r="S13" s="2" t="s">
        <v>125</v>
      </c>
    </row>
    <row r="14" spans="1:19">
      <c r="A14" s="12">
        <v>5</v>
      </c>
      <c r="B14" s="12" t="s">
        <v>28</v>
      </c>
      <c r="C14" s="78" t="s">
        <v>195</v>
      </c>
      <c r="D14" s="18" t="s">
        <v>196</v>
      </c>
      <c r="E14" s="12">
        <f t="shared" si="2"/>
        <v>12</v>
      </c>
      <c r="F14" s="61"/>
      <c r="G14" s="62">
        <f>1+1</f>
        <v>2</v>
      </c>
      <c r="H14" s="46">
        <f t="shared" si="0"/>
        <v>2</v>
      </c>
      <c r="I14" s="63">
        <f t="shared" si="1"/>
        <v>2</v>
      </c>
      <c r="J14" s="63">
        <f>2</f>
        <v>2</v>
      </c>
      <c r="K14" s="63"/>
      <c r="L14" s="63"/>
      <c r="M14" s="63"/>
      <c r="N14" s="24" t="s">
        <v>77</v>
      </c>
      <c r="O14" s="12"/>
      <c r="P14" s="12"/>
      <c r="Q14" s="12"/>
      <c r="R14" s="12"/>
      <c r="S14" s="2" t="s">
        <v>125</v>
      </c>
    </row>
    <row r="15" spans="1:19">
      <c r="A15" s="12">
        <v>11</v>
      </c>
      <c r="B15" s="12" t="s">
        <v>28</v>
      </c>
      <c r="C15" s="78" t="s">
        <v>79</v>
      </c>
      <c r="D15" s="18" t="s">
        <v>199</v>
      </c>
      <c r="E15" s="12">
        <f t="shared" si="2"/>
        <v>12</v>
      </c>
      <c r="F15" s="61"/>
      <c r="G15" s="62">
        <f>1</f>
        <v>1</v>
      </c>
      <c r="H15" s="46">
        <f t="shared" si="0"/>
        <v>1</v>
      </c>
      <c r="I15" s="63">
        <f t="shared" si="1"/>
        <v>2</v>
      </c>
      <c r="J15" s="63">
        <f>2</f>
        <v>2</v>
      </c>
      <c r="K15" s="63"/>
      <c r="L15" s="63"/>
      <c r="M15" s="63"/>
      <c r="N15" s="24" t="s">
        <v>77</v>
      </c>
      <c r="O15" s="12"/>
      <c r="P15" s="12"/>
      <c r="Q15" s="12"/>
      <c r="R15" s="12"/>
      <c r="S15" s="2" t="s">
        <v>125</v>
      </c>
    </row>
    <row r="16" spans="1:19">
      <c r="A16" s="12">
        <v>14</v>
      </c>
      <c r="B16" s="12" t="s">
        <v>28</v>
      </c>
      <c r="C16" s="78" t="s">
        <v>95</v>
      </c>
      <c r="D16" s="17" t="s">
        <v>251</v>
      </c>
      <c r="E16" s="12">
        <f t="shared" si="2"/>
        <v>12</v>
      </c>
      <c r="F16" s="61">
        <f>1+1+1+1+1+1+1+1+1+1</f>
        <v>10</v>
      </c>
      <c r="G16" s="62">
        <f>1+1+1+1+1</f>
        <v>5</v>
      </c>
      <c r="H16" s="46">
        <f t="shared" si="0"/>
        <v>15</v>
      </c>
      <c r="I16" s="63">
        <f t="shared" si="1"/>
        <v>6</v>
      </c>
      <c r="J16" s="63">
        <f>2+2+2</f>
        <v>6</v>
      </c>
      <c r="K16" s="63"/>
      <c r="L16" s="63"/>
      <c r="M16" s="63"/>
      <c r="N16" s="24" t="s">
        <v>77</v>
      </c>
      <c r="O16" s="12"/>
      <c r="P16" s="12"/>
      <c r="Q16" s="12"/>
      <c r="R16" s="12"/>
      <c r="S16" s="2" t="s">
        <v>125</v>
      </c>
    </row>
    <row r="17" spans="1:22">
      <c r="A17" s="12">
        <v>18</v>
      </c>
      <c r="B17" s="12" t="s">
        <v>28</v>
      </c>
      <c r="C17" s="78" t="s">
        <v>98</v>
      </c>
      <c r="D17" s="18" t="s">
        <v>116</v>
      </c>
      <c r="E17" s="12">
        <f t="shared" si="2"/>
        <v>12</v>
      </c>
      <c r="F17" s="61">
        <f>1+1+1+1+1</f>
        <v>5</v>
      </c>
      <c r="G17" s="62">
        <f>1+1</f>
        <v>2</v>
      </c>
      <c r="H17" s="46">
        <f t="shared" si="0"/>
        <v>7</v>
      </c>
      <c r="I17" s="63">
        <f t="shared" si="1"/>
        <v>2</v>
      </c>
      <c r="J17" s="63">
        <f>2</f>
        <v>2</v>
      </c>
      <c r="K17" s="63"/>
      <c r="L17" s="63"/>
      <c r="M17" s="63"/>
      <c r="N17" s="24" t="s">
        <v>77</v>
      </c>
      <c r="O17" s="12"/>
      <c r="P17" s="12"/>
      <c r="Q17" s="12">
        <f>1</f>
        <v>1</v>
      </c>
      <c r="R17" s="12"/>
      <c r="S17" s="2" t="s">
        <v>125</v>
      </c>
    </row>
    <row r="18" spans="1:22">
      <c r="A18" s="12">
        <v>20</v>
      </c>
      <c r="B18" s="12" t="s">
        <v>28</v>
      </c>
      <c r="C18" s="78" t="s">
        <v>193</v>
      </c>
      <c r="D18" s="18" t="s">
        <v>252</v>
      </c>
      <c r="E18" s="12">
        <f t="shared" si="2"/>
        <v>12</v>
      </c>
      <c r="F18" s="61">
        <f>1+1+1+1+1+1+1+1+1</f>
        <v>9</v>
      </c>
      <c r="G18" s="62">
        <f>1+1+1+1+1</f>
        <v>5</v>
      </c>
      <c r="H18" s="46">
        <f t="shared" si="0"/>
        <v>14</v>
      </c>
      <c r="I18" s="63">
        <f t="shared" si="1"/>
        <v>22</v>
      </c>
      <c r="J18" s="63">
        <f>2+2+2+2+2+2</f>
        <v>12</v>
      </c>
      <c r="K18" s="63"/>
      <c r="L18" s="63">
        <f>10</f>
        <v>10</v>
      </c>
      <c r="M18" s="63"/>
      <c r="N18" s="24" t="s">
        <v>77</v>
      </c>
      <c r="O18" s="12">
        <f>1+1</f>
        <v>2</v>
      </c>
      <c r="P18" s="12"/>
      <c r="Q18" s="12"/>
      <c r="R18" s="12"/>
      <c r="S18" s="2" t="s">
        <v>216</v>
      </c>
    </row>
    <row r="19" spans="1:22">
      <c r="A19" s="12">
        <v>21</v>
      </c>
      <c r="B19" s="12" t="s">
        <v>28</v>
      </c>
      <c r="C19" s="78" t="s">
        <v>123</v>
      </c>
      <c r="D19" s="17" t="s">
        <v>118</v>
      </c>
      <c r="E19" s="12">
        <f>1</f>
        <v>1</v>
      </c>
      <c r="F19" s="61"/>
      <c r="G19" s="62"/>
      <c r="H19" s="46">
        <f t="shared" si="0"/>
        <v>0</v>
      </c>
      <c r="I19" s="63">
        <f t="shared" si="1"/>
        <v>0</v>
      </c>
      <c r="J19" s="63"/>
      <c r="K19" s="63"/>
      <c r="L19" s="63"/>
      <c r="M19" s="63"/>
      <c r="N19" s="24" t="s">
        <v>77</v>
      </c>
      <c r="O19" s="12"/>
      <c r="P19" s="12"/>
      <c r="Q19" s="12"/>
      <c r="R19" s="12"/>
      <c r="S19" s="2" t="s">
        <v>125</v>
      </c>
    </row>
    <row r="20" spans="1:22">
      <c r="A20" s="12">
        <v>26</v>
      </c>
      <c r="B20" s="12" t="s">
        <v>28</v>
      </c>
      <c r="C20" s="78" t="s">
        <v>211</v>
      </c>
      <c r="D20" s="18" t="s">
        <v>212</v>
      </c>
      <c r="E20" s="12">
        <f>1+1</f>
        <v>2</v>
      </c>
      <c r="F20" s="61"/>
      <c r="G20" s="62"/>
      <c r="H20" s="46">
        <f t="shared" si="0"/>
        <v>0</v>
      </c>
      <c r="I20" s="63">
        <f t="shared" si="1"/>
        <v>0</v>
      </c>
      <c r="J20" s="63"/>
      <c r="K20" s="63"/>
      <c r="L20" s="63"/>
      <c r="M20" s="63"/>
      <c r="N20" s="24" t="s">
        <v>77</v>
      </c>
      <c r="O20" s="12"/>
      <c r="P20" s="12"/>
      <c r="Q20" s="12"/>
      <c r="R20" s="12"/>
      <c r="S20" s="2" t="s">
        <v>125</v>
      </c>
    </row>
    <row r="21" spans="1:22">
      <c r="A21" s="12">
        <v>28</v>
      </c>
      <c r="B21" s="12" t="s">
        <v>28</v>
      </c>
      <c r="C21" s="78" t="s">
        <v>84</v>
      </c>
      <c r="D21" s="18" t="s">
        <v>250</v>
      </c>
      <c r="E21" s="12">
        <f>1+1+1+1+1+1+1+1+1+1+1+1</f>
        <v>12</v>
      </c>
      <c r="F21" s="61">
        <f>1+1+1+1+1+1+1+1+1+1</f>
        <v>10</v>
      </c>
      <c r="G21" s="62">
        <f>1+1+1+1+1</f>
        <v>5</v>
      </c>
      <c r="H21" s="46">
        <f t="shared" si="0"/>
        <v>15</v>
      </c>
      <c r="I21" s="63">
        <f t="shared" si="1"/>
        <v>20</v>
      </c>
      <c r="J21" s="63">
        <f>2+2+2+2+2+2+2+2+2+2</f>
        <v>20</v>
      </c>
      <c r="K21" s="63"/>
      <c r="L21" s="63"/>
      <c r="M21" s="63"/>
      <c r="N21" s="24" t="s">
        <v>77</v>
      </c>
      <c r="O21" s="12">
        <f>1</f>
        <v>1</v>
      </c>
      <c r="P21" s="12">
        <f>1+1</f>
        <v>2</v>
      </c>
      <c r="Q21" s="12"/>
      <c r="R21" s="12"/>
      <c r="S21" s="2" t="s">
        <v>125</v>
      </c>
    </row>
    <row r="22" spans="1:22">
      <c r="A22" s="12">
        <v>15</v>
      </c>
      <c r="B22" s="12" t="s">
        <v>28</v>
      </c>
      <c r="C22" s="78" t="s">
        <v>200</v>
      </c>
      <c r="D22" s="18" t="s">
        <v>201</v>
      </c>
      <c r="E22" s="12">
        <f>1+1+1+1+1+1+1+1</f>
        <v>8</v>
      </c>
      <c r="F22" s="61"/>
      <c r="G22" s="62"/>
      <c r="H22" s="46">
        <f t="shared" si="0"/>
        <v>0</v>
      </c>
      <c r="I22" s="63">
        <f t="shared" si="1"/>
        <v>0</v>
      </c>
      <c r="J22" s="63"/>
      <c r="K22" s="63"/>
      <c r="L22" s="63"/>
      <c r="M22" s="63"/>
      <c r="N22" s="24" t="s">
        <v>77</v>
      </c>
      <c r="O22" s="12"/>
      <c r="P22" s="12"/>
      <c r="Q22" s="12"/>
      <c r="R22" s="12"/>
      <c r="S22" s="2" t="s">
        <v>125</v>
      </c>
    </row>
    <row r="23" spans="1:22">
      <c r="A23" s="12">
        <v>10</v>
      </c>
      <c r="B23" s="12" t="s">
        <v>28</v>
      </c>
      <c r="C23" s="78" t="s">
        <v>194</v>
      </c>
      <c r="D23" s="18" t="s">
        <v>93</v>
      </c>
      <c r="E23" s="12">
        <f>1+1+1+1+1+1+1+1+1+1</f>
        <v>10</v>
      </c>
      <c r="F23" s="61"/>
      <c r="G23" s="62"/>
      <c r="H23" s="46">
        <f t="shared" si="0"/>
        <v>0</v>
      </c>
      <c r="I23" s="63">
        <f t="shared" si="1"/>
        <v>0</v>
      </c>
      <c r="J23" s="63"/>
      <c r="K23" s="63"/>
      <c r="L23" s="63"/>
      <c r="M23" s="63"/>
      <c r="N23" s="24" t="s">
        <v>77</v>
      </c>
      <c r="O23" s="12"/>
      <c r="P23" s="12"/>
      <c r="Q23" s="12"/>
      <c r="R23" s="12"/>
      <c r="S23" s="2" t="s">
        <v>125</v>
      </c>
    </row>
    <row r="24" spans="1:22">
      <c r="A24" s="12"/>
      <c r="B24" s="12"/>
      <c r="C24" s="78" t="s">
        <v>204</v>
      </c>
      <c r="D24" s="17" t="s">
        <v>205</v>
      </c>
      <c r="E24" s="12"/>
      <c r="F24" s="61"/>
      <c r="G24" s="62"/>
      <c r="H24" s="46">
        <f t="shared" si="0"/>
        <v>0</v>
      </c>
      <c r="I24" s="63">
        <f t="shared" si="1"/>
        <v>0</v>
      </c>
      <c r="J24" s="63"/>
      <c r="K24" s="63"/>
      <c r="L24" s="63"/>
      <c r="M24" s="63"/>
      <c r="N24" s="24" t="s">
        <v>77</v>
      </c>
      <c r="O24" s="12"/>
      <c r="P24" s="12"/>
      <c r="Q24" s="12"/>
      <c r="R24" s="12"/>
      <c r="S24" s="2" t="s">
        <v>125</v>
      </c>
    </row>
    <row r="25" spans="1:22">
      <c r="A25" s="12"/>
      <c r="B25" s="12"/>
      <c r="C25" s="78" t="s">
        <v>209</v>
      </c>
      <c r="D25" s="18" t="s">
        <v>210</v>
      </c>
      <c r="E25" s="12"/>
      <c r="F25" s="61"/>
      <c r="G25" s="62"/>
      <c r="H25" s="46">
        <f t="shared" si="0"/>
        <v>0</v>
      </c>
      <c r="I25" s="63">
        <f t="shared" si="1"/>
        <v>0</v>
      </c>
      <c r="J25" s="63"/>
      <c r="K25" s="63"/>
      <c r="L25" s="63"/>
      <c r="M25" s="63"/>
      <c r="N25" s="24" t="s">
        <v>77</v>
      </c>
      <c r="O25" s="12"/>
      <c r="P25" s="12"/>
      <c r="Q25" s="12"/>
      <c r="R25" s="12"/>
      <c r="S25" s="2" t="s">
        <v>135</v>
      </c>
    </row>
    <row r="26" spans="1:22">
      <c r="A26" s="12"/>
      <c r="B26" s="12"/>
      <c r="C26" s="78" t="s">
        <v>211</v>
      </c>
      <c r="D26" s="18" t="s">
        <v>213</v>
      </c>
      <c r="E26" s="12"/>
      <c r="F26" s="61"/>
      <c r="G26" s="62"/>
      <c r="H26" s="46">
        <f t="shared" si="0"/>
        <v>0</v>
      </c>
      <c r="I26" s="63">
        <f t="shared" si="1"/>
        <v>0</v>
      </c>
      <c r="J26" s="63"/>
      <c r="K26" s="63"/>
      <c r="L26" s="63"/>
      <c r="M26" s="63"/>
      <c r="N26" s="24" t="s">
        <v>77</v>
      </c>
      <c r="O26" s="12"/>
      <c r="P26" s="12"/>
      <c r="Q26" s="12"/>
      <c r="R26" s="12"/>
      <c r="S26" s="2" t="s">
        <v>125</v>
      </c>
    </row>
    <row r="27" spans="1:22">
      <c r="A27" s="12"/>
      <c r="B27" s="12"/>
      <c r="C27" s="79"/>
      <c r="D27" s="17"/>
      <c r="E27" s="12"/>
      <c r="F27" s="61"/>
      <c r="G27" s="62"/>
      <c r="H27" s="46">
        <f t="shared" ref="H27:H28" si="3">F27+G27</f>
        <v>0</v>
      </c>
      <c r="I27" s="63">
        <f t="shared" ref="I27" si="4">SUM(J27:M27)</f>
        <v>0</v>
      </c>
      <c r="J27" s="63"/>
      <c r="K27" s="63"/>
      <c r="L27" s="63"/>
      <c r="M27" s="63"/>
      <c r="N27" s="24" t="s">
        <v>77</v>
      </c>
      <c r="O27" s="12"/>
      <c r="P27" s="12"/>
      <c r="Q27" s="12"/>
      <c r="R27" s="12"/>
      <c r="S27" s="2" t="s">
        <v>125</v>
      </c>
    </row>
    <row r="28" spans="1:22">
      <c r="A28" s="12"/>
      <c r="B28" s="11"/>
      <c r="C28" s="78"/>
      <c r="D28" s="18"/>
      <c r="E28" s="12"/>
      <c r="F28" s="61"/>
      <c r="G28" s="62"/>
      <c r="H28" s="46">
        <f t="shared" si="3"/>
        <v>0</v>
      </c>
      <c r="I28" s="63"/>
      <c r="J28" s="63"/>
      <c r="K28" s="63"/>
      <c r="L28" s="63"/>
      <c r="M28" s="63"/>
      <c r="N28" s="24" t="s">
        <v>77</v>
      </c>
      <c r="O28" s="12"/>
      <c r="P28" s="12"/>
      <c r="Q28" s="12"/>
      <c r="R28" s="12"/>
      <c r="S28" s="2" t="s">
        <v>125</v>
      </c>
    </row>
    <row r="29" spans="1:22">
      <c r="A29" s="12"/>
      <c r="B29" s="12"/>
      <c r="C29" s="78" t="s">
        <v>66</v>
      </c>
      <c r="D29" s="17"/>
      <c r="E29" s="12"/>
      <c r="F29" s="61"/>
      <c r="G29" s="62"/>
      <c r="H29" s="46"/>
      <c r="I29" s="63"/>
      <c r="J29" s="63">
        <f>2+2</f>
        <v>4</v>
      </c>
      <c r="K29" s="63"/>
      <c r="L29" s="63"/>
      <c r="M29" s="63"/>
      <c r="N29" s="24" t="s">
        <v>77</v>
      </c>
      <c r="O29" s="12"/>
      <c r="P29" s="12"/>
      <c r="Q29" s="12"/>
      <c r="R29" s="12"/>
      <c r="S29" s="2"/>
    </row>
    <row r="30" spans="1:22" s="1" customFormat="1">
      <c r="F30" s="16">
        <f>SUM(F4:F29)</f>
        <v>42</v>
      </c>
      <c r="G30" s="16">
        <f>SUM(G4:G29)</f>
        <v>28</v>
      </c>
      <c r="H30" s="16">
        <f>SUM(H4:H29)</f>
        <v>70</v>
      </c>
      <c r="I30" s="16">
        <f>SUM(I4:I29)+SUM(I33:I35)</f>
        <v>120</v>
      </c>
      <c r="J30" s="16">
        <f>SUM(J4:J29)+SUM(J33:J35)</f>
        <v>104</v>
      </c>
      <c r="K30" s="16">
        <f>SUM(K4:K29)+SUM(K33:K35)</f>
        <v>0</v>
      </c>
      <c r="L30" s="16">
        <f>SUM(L4:L29)+SUM(L33:L35)</f>
        <v>20</v>
      </c>
      <c r="M30" s="16">
        <f>SUM(M4:M29)+SUM(M33:M35)</f>
        <v>0</v>
      </c>
      <c r="N30" s="16"/>
      <c r="O30" s="16">
        <f>SUM(O4:O27)</f>
        <v>4</v>
      </c>
      <c r="P30" s="16">
        <f>SUM(P4:P27)</f>
        <v>3</v>
      </c>
      <c r="Q30" s="16">
        <f>SUM(Q4:Q27)</f>
        <v>1</v>
      </c>
      <c r="R30" s="16">
        <f>SUM(R4:R27)</f>
        <v>1</v>
      </c>
    </row>
    <row r="31" spans="1:22">
      <c r="A31" s="15" t="s">
        <v>30</v>
      </c>
    </row>
    <row r="32" spans="1:22">
      <c r="A32" s="15" t="s">
        <v>20</v>
      </c>
      <c r="B32" s="15" t="s">
        <v>21</v>
      </c>
      <c r="C32" s="15" t="s">
        <v>22</v>
      </c>
      <c r="D32" s="15"/>
      <c r="E32" s="16" t="s">
        <v>11</v>
      </c>
      <c r="F32" s="16" t="s">
        <v>13</v>
      </c>
      <c r="G32" s="16" t="s">
        <v>31</v>
      </c>
      <c r="H32" s="16" t="s">
        <v>32</v>
      </c>
      <c r="I32" s="16" t="s">
        <v>106</v>
      </c>
      <c r="J32" s="16" t="s">
        <v>105</v>
      </c>
      <c r="K32" s="16" t="s">
        <v>102</v>
      </c>
      <c r="L32" s="16" t="s">
        <v>103</v>
      </c>
      <c r="M32" s="16" t="s">
        <v>104</v>
      </c>
      <c r="N32" s="16" t="s">
        <v>33</v>
      </c>
      <c r="O32" s="16" t="s">
        <v>67</v>
      </c>
      <c r="P32" s="16" t="s">
        <v>34</v>
      </c>
      <c r="Q32" s="16" t="s">
        <v>35</v>
      </c>
      <c r="R32" s="16" t="s">
        <v>36</v>
      </c>
      <c r="S32" s="16" t="s">
        <v>29</v>
      </c>
      <c r="T32" s="16" t="s">
        <v>10</v>
      </c>
      <c r="U32" s="16" t="s">
        <v>50</v>
      </c>
      <c r="V32" s="16" t="s">
        <v>124</v>
      </c>
    </row>
    <row r="33" spans="1:27">
      <c r="A33" s="17">
        <v>1</v>
      </c>
      <c r="B33" s="12" t="s">
        <v>51</v>
      </c>
      <c r="C33" s="78" t="s">
        <v>121</v>
      </c>
      <c r="D33" s="18" t="s">
        <v>114</v>
      </c>
      <c r="E33" s="12">
        <f>1+1+1+1+1+1+1+1+1+1+1+1</f>
        <v>12</v>
      </c>
      <c r="F33" s="12">
        <f>7+5+4+6+1+3+3+1+6+4</f>
        <v>40</v>
      </c>
      <c r="G33" s="12">
        <f>35+33+27+36+16+13+13+1+23+8</f>
        <v>205</v>
      </c>
      <c r="H33" s="88">
        <f>100*(1-(F33/G33))</f>
        <v>80.487804878048792</v>
      </c>
      <c r="I33" s="63">
        <f>SUM(J33:M33)</f>
        <v>0</v>
      </c>
      <c r="J33" s="63"/>
      <c r="K33" s="63"/>
      <c r="L33" s="63"/>
      <c r="M33" s="63"/>
      <c r="N33" s="67">
        <f>50+50+26.32+50+20+20+30+29.58+8.52</f>
        <v>284.41999999999996</v>
      </c>
      <c r="O33" s="67">
        <f>F33/(N33/50)</f>
        <v>7.0318542999789058</v>
      </c>
      <c r="P33" s="12"/>
      <c r="Q33" s="12"/>
      <c r="R33" s="12">
        <f>1+1+1+1+1+1+1</f>
        <v>7</v>
      </c>
      <c r="S33" s="12"/>
      <c r="T33" s="24" t="s">
        <v>77</v>
      </c>
      <c r="U33" s="44">
        <f ca="1">N33/((SUMIF('Results + Standings'!$L$4:$M$6,"Canterbury",'Results + Standings'!$M$4:$M$6))*50)</f>
        <v>0.47403333333333325</v>
      </c>
      <c r="V33" s="1" t="s">
        <v>125</v>
      </c>
    </row>
    <row r="34" spans="1:27">
      <c r="A34" s="17">
        <v>30</v>
      </c>
      <c r="B34" s="12" t="s">
        <v>51</v>
      </c>
      <c r="C34" s="78" t="s">
        <v>214</v>
      </c>
      <c r="D34" s="18" t="s">
        <v>215</v>
      </c>
      <c r="E34" s="12">
        <f>1+1+1+1+1+1+1+1+1+1+1+1</f>
        <v>12</v>
      </c>
      <c r="F34" s="12">
        <f>8+5+8+4+3+4+8+6+4</f>
        <v>50</v>
      </c>
      <c r="G34" s="12">
        <f>34+17+23+20+22+22+18+21+23</f>
        <v>200</v>
      </c>
      <c r="H34" s="88">
        <f>100*(1-(F34/G34))</f>
        <v>75</v>
      </c>
      <c r="I34" s="63">
        <f t="shared" ref="I34" si="5">SUM(J34:M34)</f>
        <v>0</v>
      </c>
      <c r="J34" s="63"/>
      <c r="K34" s="63"/>
      <c r="L34" s="63"/>
      <c r="M34" s="63"/>
      <c r="N34" s="67">
        <f>50+23.68+30+30+20+50+20.42+41.48+49.48</f>
        <v>315.06000000000006</v>
      </c>
      <c r="O34" s="67">
        <f>F34/(N34/50)</f>
        <v>7.9349965086015342</v>
      </c>
      <c r="P34" s="12"/>
      <c r="Q34" s="12"/>
      <c r="R34" s="12">
        <f>1+1+1+1+1</f>
        <v>5</v>
      </c>
      <c r="S34" s="12"/>
      <c r="T34" s="24" t="s">
        <v>77</v>
      </c>
      <c r="U34" s="44">
        <f ca="1">N34/((SUMIF('Results + Standings'!$L$4:$M$6,"Canterbury",'Results + Standings'!$M$4:$M$6))*50)</f>
        <v>0.52510000000000012</v>
      </c>
      <c r="V34" s="1" t="s">
        <v>126</v>
      </c>
    </row>
    <row r="35" spans="1:27">
      <c r="A35" s="17"/>
      <c r="B35" s="11"/>
      <c r="C35" s="78"/>
      <c r="D35" s="18"/>
      <c r="E35" s="12"/>
      <c r="F35" s="12"/>
      <c r="G35" s="12"/>
      <c r="H35" s="88"/>
      <c r="I35" s="63">
        <f>SUM(J35:M35)</f>
        <v>0</v>
      </c>
      <c r="J35" s="63"/>
      <c r="K35" s="63"/>
      <c r="L35" s="63"/>
      <c r="M35" s="63"/>
      <c r="N35" s="67"/>
      <c r="O35" s="67"/>
      <c r="P35" s="12"/>
      <c r="Q35" s="12"/>
      <c r="R35" s="12"/>
      <c r="S35" s="12"/>
      <c r="T35" s="24"/>
      <c r="U35" s="44"/>
      <c r="V35" s="1"/>
      <c r="W35" s="16"/>
      <c r="X35" s="16"/>
      <c r="Y35" s="16"/>
      <c r="Z35" s="16"/>
      <c r="AA35" s="16"/>
    </row>
    <row r="36" spans="1:27">
      <c r="B36" s="2"/>
      <c r="D36" s="2" t="s">
        <v>151</v>
      </c>
      <c r="E36" s="1"/>
      <c r="F36" s="1"/>
      <c r="G36" s="1"/>
      <c r="H36" s="1"/>
      <c r="I36" s="1"/>
      <c r="J36" s="1"/>
      <c r="K36" s="1"/>
      <c r="L36" s="1"/>
      <c r="M36" s="1"/>
      <c r="N36" s="1">
        <v>0.52</v>
      </c>
      <c r="O36" s="1"/>
      <c r="U36" s="44">
        <f ca="1">N36/((SUMIF('Results + Standings'!$L$4:$M$6,"Canterbury",'Results + Standings'!$M$4:$M$6))*50)</f>
        <v>8.6666666666666674E-4</v>
      </c>
    </row>
    <row r="37" spans="1:27">
      <c r="B37" s="2"/>
      <c r="E37" s="1">
        <v>4</v>
      </c>
      <c r="F37" s="1">
        <f>SUM(F33:F36)</f>
        <v>90</v>
      </c>
      <c r="G37" s="1">
        <f>SUM(G33:G36)</f>
        <v>405</v>
      </c>
      <c r="H37" s="20">
        <f>AVERAGE(H33:H35)</f>
        <v>77.743902439024396</v>
      </c>
      <c r="I37" s="1"/>
      <c r="J37" s="1"/>
      <c r="K37" s="1"/>
      <c r="L37" s="1"/>
      <c r="M37" s="1"/>
      <c r="N37" s="68">
        <f>SUM(N33:N36)</f>
        <v>600</v>
      </c>
      <c r="O37" s="68">
        <f>F37/(N37/45)</f>
        <v>6.75</v>
      </c>
      <c r="P37" s="1"/>
      <c r="Q37" s="1"/>
      <c r="R37" s="1"/>
      <c r="S37" s="1"/>
      <c r="U37" s="45">
        <f ca="1">SUM(U33:U36)</f>
        <v>1</v>
      </c>
    </row>
    <row r="38" spans="1:27"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27"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27" ht="12.75">
      <c r="B40" s="81" t="s">
        <v>127</v>
      </c>
      <c r="C40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27">
      <c r="B41" s="82" t="s">
        <v>256</v>
      </c>
      <c r="C41" s="14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27">
      <c r="B42" s="82" t="s">
        <v>257</v>
      </c>
      <c r="C42" s="14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7">
      <c r="B43" s="14"/>
      <c r="C43" s="14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27">
      <c r="B44" s="82" t="s">
        <v>258</v>
      </c>
      <c r="C44" s="14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7">
      <c r="B45" s="82" t="s">
        <v>259</v>
      </c>
      <c r="C45" s="14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27">
      <c r="B46" s="82" t="s">
        <v>128</v>
      </c>
      <c r="C46" s="14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27">
      <c r="B47" s="82"/>
      <c r="C47" s="14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27"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5:14">
      <c r="E49" s="1"/>
      <c r="F49" s="1"/>
      <c r="G49" s="1"/>
      <c r="H49" s="1"/>
      <c r="I49" s="1"/>
      <c r="J49" s="1"/>
      <c r="K49" s="1"/>
      <c r="L49" s="1"/>
      <c r="M49" s="1"/>
      <c r="N49" s="1"/>
    </row>
  </sheetData>
  <sortState ref="A4:S26">
    <sortCondition ref="B4:B26"/>
    <sortCondition ref="A4:A26"/>
  </sortState>
  <mergeCells count="1">
    <mergeCell ref="A1:N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topLeftCell="A2" workbookViewId="0">
      <selection activeCell="G30" sqref="G30"/>
    </sheetView>
  </sheetViews>
  <sheetFormatPr defaultColWidth="9.140625" defaultRowHeight="11.25"/>
  <cols>
    <col min="1" max="1" width="4.7109375" style="2" customWidth="1"/>
    <col min="2" max="2" width="4.7109375" style="1" customWidth="1"/>
    <col min="3" max="3" width="9.42578125" style="2" bestFit="1" customWidth="1"/>
    <col min="4" max="4" width="11.28515625" style="2" bestFit="1" customWidth="1"/>
    <col min="5" max="9" width="6.7109375" style="14" customWidth="1"/>
    <col min="10" max="10" width="4.85546875" style="14" customWidth="1"/>
    <col min="11" max="14" width="5.7109375" style="14" customWidth="1"/>
    <col min="15" max="15" width="5.85546875" style="14" bestFit="1" customWidth="1"/>
    <col min="16" max="18" width="4.140625" style="14" bestFit="1" customWidth="1"/>
    <col min="19" max="19" width="4.140625" style="14" customWidth="1"/>
    <col min="20" max="16384" width="9.140625" style="14"/>
  </cols>
  <sheetData>
    <row r="1" spans="1:19" ht="15.75">
      <c r="A1" s="92" t="s">
        <v>163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9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9">
      <c r="A3" s="15" t="s">
        <v>20</v>
      </c>
      <c r="B3" s="16" t="s">
        <v>21</v>
      </c>
      <c r="C3" s="15" t="s">
        <v>64</v>
      </c>
      <c r="D3" s="15" t="s">
        <v>65</v>
      </c>
      <c r="E3" s="16" t="s">
        <v>11</v>
      </c>
      <c r="F3" s="16" t="s">
        <v>23</v>
      </c>
      <c r="G3" s="16" t="s">
        <v>24</v>
      </c>
      <c r="H3" s="16" t="s">
        <v>16</v>
      </c>
      <c r="I3" s="16" t="s">
        <v>106</v>
      </c>
      <c r="J3" s="16" t="s">
        <v>105</v>
      </c>
      <c r="K3" s="16" t="s">
        <v>102</v>
      </c>
      <c r="L3" s="16" t="s">
        <v>103</v>
      </c>
      <c r="M3" s="16" t="s">
        <v>104</v>
      </c>
      <c r="N3" s="16" t="s">
        <v>10</v>
      </c>
      <c r="O3" s="16" t="s">
        <v>26</v>
      </c>
      <c r="P3" s="16" t="s">
        <v>46</v>
      </c>
      <c r="Q3" s="16" t="s">
        <v>27</v>
      </c>
      <c r="R3" s="16" t="s">
        <v>47</v>
      </c>
      <c r="S3" s="15" t="s">
        <v>124</v>
      </c>
    </row>
    <row r="4" spans="1:19">
      <c r="A4" s="12">
        <v>2</v>
      </c>
      <c r="B4" s="12" t="s">
        <v>28</v>
      </c>
      <c r="C4" s="17" t="s">
        <v>166</v>
      </c>
      <c r="D4" s="17" t="s">
        <v>167</v>
      </c>
      <c r="E4" s="12">
        <f>1+1+1+1+1+1+1+1+1+1</f>
        <v>10</v>
      </c>
      <c r="F4" s="61"/>
      <c r="G4" s="62"/>
      <c r="H4" s="46">
        <f t="shared" ref="H4:H19" si="0">F4+G4</f>
        <v>0</v>
      </c>
      <c r="I4" s="63">
        <f t="shared" ref="I4:I19" si="1">SUM(J4:M4)</f>
        <v>0</v>
      </c>
      <c r="J4" s="63"/>
      <c r="K4" s="63"/>
      <c r="L4" s="63"/>
      <c r="M4" s="63"/>
      <c r="N4" s="24" t="s">
        <v>76</v>
      </c>
      <c r="O4" s="12"/>
      <c r="P4" s="12"/>
      <c r="Q4" s="12"/>
      <c r="R4" s="12"/>
      <c r="S4" s="2" t="s">
        <v>125</v>
      </c>
    </row>
    <row r="5" spans="1:19">
      <c r="A5" s="12">
        <v>3</v>
      </c>
      <c r="B5" s="12" t="s">
        <v>28</v>
      </c>
      <c r="C5" s="17" t="s">
        <v>133</v>
      </c>
      <c r="D5" s="17" t="s">
        <v>96</v>
      </c>
      <c r="E5" s="12">
        <f>1+1+1+1+1+1+1+1</f>
        <v>8</v>
      </c>
      <c r="F5" s="61">
        <f>1+1+1+1+1+1</f>
        <v>6</v>
      </c>
      <c r="G5" s="62">
        <f>1+1</f>
        <v>2</v>
      </c>
      <c r="H5" s="46">
        <f t="shared" si="0"/>
        <v>8</v>
      </c>
      <c r="I5" s="63">
        <f t="shared" si="1"/>
        <v>4</v>
      </c>
      <c r="J5" s="63">
        <f>2+2</f>
        <v>4</v>
      </c>
      <c r="K5" s="63"/>
      <c r="L5" s="63"/>
      <c r="M5" s="63"/>
      <c r="N5" s="24" t="s">
        <v>76</v>
      </c>
      <c r="O5" s="12"/>
      <c r="P5" s="12"/>
      <c r="Q5" s="12"/>
      <c r="R5" s="12"/>
      <c r="S5" s="2" t="s">
        <v>135</v>
      </c>
    </row>
    <row r="6" spans="1:19">
      <c r="A6" s="12">
        <v>5</v>
      </c>
      <c r="B6" s="12" t="s">
        <v>28</v>
      </c>
      <c r="C6" s="18" t="s">
        <v>97</v>
      </c>
      <c r="D6" s="18" t="s">
        <v>168</v>
      </c>
      <c r="E6" s="12">
        <f>1+1+1+1+1+1</f>
        <v>6</v>
      </c>
      <c r="F6" s="61"/>
      <c r="G6" s="62"/>
      <c r="H6" s="46">
        <f t="shared" si="0"/>
        <v>0</v>
      </c>
      <c r="I6" s="63">
        <f t="shared" si="1"/>
        <v>0</v>
      </c>
      <c r="J6" s="63"/>
      <c r="K6" s="63"/>
      <c r="L6" s="63"/>
      <c r="M6" s="63"/>
      <c r="N6" s="24" t="s">
        <v>76</v>
      </c>
      <c r="O6" s="12"/>
      <c r="P6" s="12"/>
      <c r="Q6" s="12"/>
      <c r="R6" s="12"/>
      <c r="S6" s="2" t="s">
        <v>169</v>
      </c>
    </row>
    <row r="7" spans="1:19">
      <c r="A7" s="12">
        <v>6</v>
      </c>
      <c r="B7" s="12" t="s">
        <v>28</v>
      </c>
      <c r="C7" s="18" t="s">
        <v>80</v>
      </c>
      <c r="D7" s="18" t="s">
        <v>130</v>
      </c>
      <c r="E7" s="12">
        <f t="shared" ref="E7:E13" si="2">1+1+1+1+1+1+1+1+1+1+1+1</f>
        <v>12</v>
      </c>
      <c r="F7" s="61">
        <f>1</f>
        <v>1</v>
      </c>
      <c r="G7" s="62">
        <f>1+1+1+1</f>
        <v>4</v>
      </c>
      <c r="H7" s="46">
        <f t="shared" si="0"/>
        <v>5</v>
      </c>
      <c r="I7" s="63">
        <f t="shared" si="1"/>
        <v>8</v>
      </c>
      <c r="J7" s="63">
        <f>2+2+2+2</f>
        <v>8</v>
      </c>
      <c r="K7" s="63"/>
      <c r="L7" s="63"/>
      <c r="M7" s="63"/>
      <c r="N7" s="24" t="s">
        <v>76</v>
      </c>
      <c r="O7" s="12"/>
      <c r="P7" s="12"/>
      <c r="Q7" s="12"/>
      <c r="R7" s="12"/>
      <c r="S7" s="2" t="s">
        <v>125</v>
      </c>
    </row>
    <row r="8" spans="1:19">
      <c r="A8" s="12">
        <v>7</v>
      </c>
      <c r="B8" s="12" t="s">
        <v>28</v>
      </c>
      <c r="C8" s="18" t="s">
        <v>170</v>
      </c>
      <c r="D8" s="18" t="s">
        <v>171</v>
      </c>
      <c r="E8" s="12">
        <f t="shared" si="2"/>
        <v>12</v>
      </c>
      <c r="F8" s="61">
        <f>1</f>
        <v>1</v>
      </c>
      <c r="G8" s="62">
        <f>1</f>
        <v>1</v>
      </c>
      <c r="H8" s="46">
        <f t="shared" si="0"/>
        <v>2</v>
      </c>
      <c r="I8" s="63">
        <f t="shared" si="1"/>
        <v>0</v>
      </c>
      <c r="J8" s="63"/>
      <c r="K8" s="63"/>
      <c r="L8" s="63"/>
      <c r="M8" s="63"/>
      <c r="N8" s="24" t="s">
        <v>76</v>
      </c>
      <c r="O8" s="12">
        <f>1</f>
        <v>1</v>
      </c>
      <c r="P8" s="12"/>
      <c r="Q8" s="12"/>
      <c r="R8" s="12"/>
      <c r="S8" s="2" t="s">
        <v>125</v>
      </c>
    </row>
    <row r="9" spans="1:19">
      <c r="A9" s="12">
        <v>8</v>
      </c>
      <c r="B9" s="12" t="s">
        <v>28</v>
      </c>
      <c r="C9" s="18" t="s">
        <v>172</v>
      </c>
      <c r="D9" s="18" t="s">
        <v>132</v>
      </c>
      <c r="E9" s="12">
        <f t="shared" si="2"/>
        <v>12</v>
      </c>
      <c r="F9" s="61">
        <f>1+1+1+1+1+1+1+1+1+1+1</f>
        <v>11</v>
      </c>
      <c r="G9" s="62">
        <f>1+1+1+1+1+1+1+1+1</f>
        <v>9</v>
      </c>
      <c r="H9" s="46">
        <f t="shared" si="0"/>
        <v>20</v>
      </c>
      <c r="I9" s="63">
        <f t="shared" si="1"/>
        <v>20</v>
      </c>
      <c r="J9" s="63">
        <f>2+2+2+2+2</f>
        <v>10</v>
      </c>
      <c r="K9" s="63"/>
      <c r="L9" s="63">
        <f>10</f>
        <v>10</v>
      </c>
      <c r="M9" s="63"/>
      <c r="N9" s="24" t="s">
        <v>76</v>
      </c>
      <c r="O9" s="12"/>
      <c r="P9" s="12">
        <f>1+1+1</f>
        <v>3</v>
      </c>
      <c r="Q9" s="12"/>
      <c r="R9" s="12"/>
      <c r="S9" s="2" t="s">
        <v>134</v>
      </c>
    </row>
    <row r="10" spans="1:19">
      <c r="A10" s="12">
        <v>10</v>
      </c>
      <c r="B10" s="12" t="s">
        <v>28</v>
      </c>
      <c r="C10" s="17" t="s">
        <v>83</v>
      </c>
      <c r="D10" s="17" t="s">
        <v>131</v>
      </c>
      <c r="E10" s="12">
        <f t="shared" si="2"/>
        <v>12</v>
      </c>
      <c r="F10" s="61">
        <f>1+1+1+1+1+1</f>
        <v>6</v>
      </c>
      <c r="G10" s="62">
        <f>1+1+1+1+1+1+1+1+1+1+1+1</f>
        <v>12</v>
      </c>
      <c r="H10" s="46">
        <f t="shared" si="0"/>
        <v>18</v>
      </c>
      <c r="I10" s="63">
        <f t="shared" si="1"/>
        <v>16</v>
      </c>
      <c r="J10" s="63">
        <f>2+2+2</f>
        <v>6</v>
      </c>
      <c r="K10" s="63"/>
      <c r="L10" s="63">
        <f>10</f>
        <v>10</v>
      </c>
      <c r="M10" s="63"/>
      <c r="N10" s="24" t="s">
        <v>76</v>
      </c>
      <c r="O10" s="12">
        <f>1</f>
        <v>1</v>
      </c>
      <c r="P10" s="12">
        <f>1+1</f>
        <v>2</v>
      </c>
      <c r="Q10" s="12"/>
      <c r="R10" s="12"/>
      <c r="S10" s="2" t="s">
        <v>125</v>
      </c>
    </row>
    <row r="11" spans="1:19">
      <c r="A11" s="12">
        <v>14</v>
      </c>
      <c r="B11" s="12" t="s">
        <v>28</v>
      </c>
      <c r="C11" s="18" t="s">
        <v>38</v>
      </c>
      <c r="D11" s="17" t="s">
        <v>173</v>
      </c>
      <c r="E11" s="12">
        <f t="shared" si="2"/>
        <v>12</v>
      </c>
      <c r="F11" s="61">
        <f>1+1+1+1+1+1+1+1+1+1+1+1+1+1+1+1+1+1+1+1+1+1</f>
        <v>22</v>
      </c>
      <c r="G11" s="62">
        <f>1+1+1+1+1+1+1+1+1+1+1+1+1+1+1</f>
        <v>15</v>
      </c>
      <c r="H11" s="46">
        <f t="shared" si="0"/>
        <v>37</v>
      </c>
      <c r="I11" s="63">
        <f t="shared" si="1"/>
        <v>14</v>
      </c>
      <c r="J11" s="63">
        <f>2+2</f>
        <v>4</v>
      </c>
      <c r="K11" s="63"/>
      <c r="L11" s="63">
        <f>10</f>
        <v>10</v>
      </c>
      <c r="M11" s="63"/>
      <c r="N11" s="24" t="s">
        <v>76</v>
      </c>
      <c r="O11" s="12">
        <f>1+1+1+1+1</f>
        <v>5</v>
      </c>
      <c r="P11" s="12">
        <f>1+1+1+1</f>
        <v>4</v>
      </c>
      <c r="Q11" s="12">
        <f>1</f>
        <v>1</v>
      </c>
      <c r="R11" s="12"/>
      <c r="S11" s="2" t="s">
        <v>125</v>
      </c>
    </row>
    <row r="12" spans="1:19">
      <c r="A12" s="12">
        <v>17</v>
      </c>
      <c r="B12" s="12" t="s">
        <v>28</v>
      </c>
      <c r="C12" s="17" t="s">
        <v>82</v>
      </c>
      <c r="D12" s="17" t="s">
        <v>174</v>
      </c>
      <c r="E12" s="12">
        <f t="shared" si="2"/>
        <v>12</v>
      </c>
      <c r="F12" s="61">
        <f>1</f>
        <v>1</v>
      </c>
      <c r="G12" s="62">
        <f>1+1+1+1+1</f>
        <v>5</v>
      </c>
      <c r="H12" s="46">
        <f t="shared" si="0"/>
        <v>6</v>
      </c>
      <c r="I12" s="63">
        <f t="shared" si="1"/>
        <v>10</v>
      </c>
      <c r="J12" s="63">
        <f>2+2+2+2+2</f>
        <v>10</v>
      </c>
      <c r="K12" s="63"/>
      <c r="L12" s="63"/>
      <c r="M12" s="63"/>
      <c r="N12" s="24" t="s">
        <v>76</v>
      </c>
      <c r="O12" s="12"/>
      <c r="P12" s="12"/>
      <c r="Q12" s="12"/>
      <c r="R12" s="12"/>
      <c r="S12" s="2" t="s">
        <v>189</v>
      </c>
    </row>
    <row r="13" spans="1:19">
      <c r="A13" s="12">
        <v>18</v>
      </c>
      <c r="B13" s="12" t="s">
        <v>28</v>
      </c>
      <c r="C13" s="17" t="s">
        <v>99</v>
      </c>
      <c r="D13" s="17" t="s">
        <v>175</v>
      </c>
      <c r="E13" s="12">
        <f t="shared" si="2"/>
        <v>12</v>
      </c>
      <c r="F13" s="61">
        <f>1</f>
        <v>1</v>
      </c>
      <c r="G13" s="62"/>
      <c r="H13" s="46">
        <f t="shared" si="0"/>
        <v>1</v>
      </c>
      <c r="I13" s="63">
        <f t="shared" si="1"/>
        <v>0</v>
      </c>
      <c r="J13" s="63"/>
      <c r="K13" s="63"/>
      <c r="L13" s="63"/>
      <c r="M13" s="63"/>
      <c r="N13" s="24" t="s">
        <v>76</v>
      </c>
      <c r="O13" s="12"/>
      <c r="P13" s="12"/>
      <c r="Q13" s="12"/>
      <c r="R13" s="12"/>
      <c r="S13" s="2" t="s">
        <v>125</v>
      </c>
    </row>
    <row r="14" spans="1:19">
      <c r="A14" s="12">
        <v>29</v>
      </c>
      <c r="B14" s="12" t="s">
        <v>28</v>
      </c>
      <c r="C14" s="17" t="s">
        <v>176</v>
      </c>
      <c r="D14" s="17" t="s">
        <v>177</v>
      </c>
      <c r="E14" s="12"/>
      <c r="F14" s="61"/>
      <c r="G14" s="62"/>
      <c r="H14" s="46">
        <f t="shared" si="0"/>
        <v>0</v>
      </c>
      <c r="I14" s="63">
        <f t="shared" si="1"/>
        <v>0</v>
      </c>
      <c r="J14" s="63"/>
      <c r="K14" s="63"/>
      <c r="L14" s="63"/>
      <c r="M14" s="63"/>
      <c r="N14" s="24" t="s">
        <v>76</v>
      </c>
      <c r="O14" s="12"/>
      <c r="P14" s="12"/>
      <c r="Q14" s="12"/>
      <c r="R14" s="12"/>
      <c r="S14" s="2" t="s">
        <v>125</v>
      </c>
    </row>
    <row r="15" spans="1:19">
      <c r="A15" s="12">
        <v>4</v>
      </c>
      <c r="B15" s="12" t="s">
        <v>29</v>
      </c>
      <c r="C15" s="17" t="s">
        <v>178</v>
      </c>
      <c r="D15" s="17" t="s">
        <v>101</v>
      </c>
      <c r="E15" s="12"/>
      <c r="F15" s="61"/>
      <c r="G15" s="62"/>
      <c r="H15" s="46">
        <f t="shared" si="0"/>
        <v>0</v>
      </c>
      <c r="I15" s="63">
        <f t="shared" si="1"/>
        <v>0</v>
      </c>
      <c r="J15" s="63"/>
      <c r="K15" s="63"/>
      <c r="L15" s="63"/>
      <c r="M15" s="63"/>
      <c r="N15" s="24" t="s">
        <v>76</v>
      </c>
      <c r="O15" s="12"/>
      <c r="P15" s="12"/>
      <c r="Q15" s="12"/>
      <c r="R15" s="12"/>
      <c r="S15" s="2" t="s">
        <v>125</v>
      </c>
    </row>
    <row r="16" spans="1:19">
      <c r="A16" s="12">
        <v>11</v>
      </c>
      <c r="B16" s="12" t="s">
        <v>29</v>
      </c>
      <c r="C16" s="18" t="s">
        <v>99</v>
      </c>
      <c r="D16" s="18" t="s">
        <v>179</v>
      </c>
      <c r="E16" s="12">
        <f>1+1+1+1+1+1+1+1+1+1+1+1</f>
        <v>12</v>
      </c>
      <c r="F16" s="61">
        <f>1+1+1+1+1+1+1+1+1+1+1+1+1+1+1+1+1+1+1</f>
        <v>19</v>
      </c>
      <c r="G16" s="62">
        <f>1+1+1+1+1</f>
        <v>5</v>
      </c>
      <c r="H16" s="46">
        <f t="shared" si="0"/>
        <v>24</v>
      </c>
      <c r="I16" s="63">
        <f t="shared" si="1"/>
        <v>56</v>
      </c>
      <c r="J16" s="63">
        <f>2+2+2+2+2+2+2+2+2+2+2+2+2</f>
        <v>26</v>
      </c>
      <c r="K16" s="63"/>
      <c r="L16" s="63">
        <f>10+10+10</f>
        <v>30</v>
      </c>
      <c r="M16" s="63"/>
      <c r="N16" s="24" t="s">
        <v>76</v>
      </c>
      <c r="O16" s="12">
        <f>1+1</f>
        <v>2</v>
      </c>
      <c r="P16" s="12">
        <f>1</f>
        <v>1</v>
      </c>
      <c r="Q16" s="12">
        <f>1</f>
        <v>1</v>
      </c>
      <c r="R16" s="12"/>
      <c r="S16" s="2" t="s">
        <v>125</v>
      </c>
    </row>
    <row r="17" spans="1:23">
      <c r="A17" s="12">
        <v>12</v>
      </c>
      <c r="B17" s="12" t="s">
        <v>29</v>
      </c>
      <c r="C17" s="18" t="s">
        <v>180</v>
      </c>
      <c r="D17" s="18" t="s">
        <v>181</v>
      </c>
      <c r="E17" s="12">
        <f>1+1+1+1+1+1+1+1+1+1+1+1</f>
        <v>12</v>
      </c>
      <c r="F17" s="61"/>
      <c r="G17" s="62"/>
      <c r="H17" s="46">
        <f t="shared" si="0"/>
        <v>0</v>
      </c>
      <c r="I17" s="63">
        <f t="shared" si="1"/>
        <v>0</v>
      </c>
      <c r="J17" s="63"/>
      <c r="K17" s="63"/>
      <c r="L17" s="63"/>
      <c r="M17" s="63"/>
      <c r="N17" s="24" t="s">
        <v>76</v>
      </c>
      <c r="O17" s="12"/>
      <c r="P17" s="12"/>
      <c r="Q17" s="12"/>
      <c r="R17" s="12"/>
      <c r="S17" s="2" t="s">
        <v>125</v>
      </c>
    </row>
    <row r="18" spans="1:23">
      <c r="A18" s="12">
        <v>15</v>
      </c>
      <c r="B18" s="12" t="s">
        <v>29</v>
      </c>
      <c r="C18" s="17" t="s">
        <v>100</v>
      </c>
      <c r="D18" s="17" t="s">
        <v>182</v>
      </c>
      <c r="E18" s="12">
        <f>1+1+1+1+1+1+1+1+1+1+1+1</f>
        <v>12</v>
      </c>
      <c r="F18" s="61">
        <f>1+1</f>
        <v>2</v>
      </c>
      <c r="G18" s="62">
        <f>1+1+1+1+1</f>
        <v>5</v>
      </c>
      <c r="H18" s="46">
        <f t="shared" si="0"/>
        <v>7</v>
      </c>
      <c r="I18" s="63">
        <f t="shared" si="1"/>
        <v>10</v>
      </c>
      <c r="J18" s="63">
        <f>2+2+2+2+2</f>
        <v>10</v>
      </c>
      <c r="K18" s="63"/>
      <c r="L18" s="63"/>
      <c r="M18" s="63"/>
      <c r="N18" s="24" t="s">
        <v>76</v>
      </c>
      <c r="O18" s="12"/>
      <c r="P18" s="12"/>
      <c r="Q18" s="12"/>
      <c r="R18" s="12"/>
      <c r="S18" s="2" t="s">
        <v>125</v>
      </c>
    </row>
    <row r="19" spans="1:23">
      <c r="A19" s="12">
        <v>16</v>
      </c>
      <c r="B19" s="12" t="s">
        <v>29</v>
      </c>
      <c r="C19" s="18" t="s">
        <v>183</v>
      </c>
      <c r="D19" s="18" t="s">
        <v>184</v>
      </c>
      <c r="E19" s="12">
        <f t="shared" ref="E19" si="3">1+1+1+1+1+1+1+1</f>
        <v>8</v>
      </c>
      <c r="F19" s="61">
        <f>1</f>
        <v>1</v>
      </c>
      <c r="G19" s="62"/>
      <c r="H19" s="46">
        <f t="shared" si="0"/>
        <v>1</v>
      </c>
      <c r="I19" s="63">
        <f t="shared" si="1"/>
        <v>0</v>
      </c>
      <c r="J19" s="63"/>
      <c r="K19" s="63"/>
      <c r="L19" s="63"/>
      <c r="M19" s="63"/>
      <c r="N19" s="24" t="s">
        <v>76</v>
      </c>
      <c r="O19" s="12"/>
      <c r="P19" s="12"/>
      <c r="Q19" s="12"/>
      <c r="R19" s="12"/>
      <c r="S19" s="2" t="s">
        <v>125</v>
      </c>
    </row>
    <row r="20" spans="1:23">
      <c r="A20" s="12">
        <v>19</v>
      </c>
      <c r="B20" s="12" t="s">
        <v>29</v>
      </c>
      <c r="C20" s="18" t="s">
        <v>185</v>
      </c>
      <c r="D20" s="18" t="s">
        <v>177</v>
      </c>
      <c r="E20" s="12">
        <f>1+1+1+1+1+1+1+1+1+1+1+1</f>
        <v>12</v>
      </c>
      <c r="F20" s="61"/>
      <c r="G20" s="62"/>
      <c r="H20" s="46">
        <f t="shared" ref="H20:H24" si="4">F20+G20</f>
        <v>0</v>
      </c>
      <c r="I20" s="63">
        <f t="shared" ref="I20:I24" si="5">SUM(J20:M20)</f>
        <v>2</v>
      </c>
      <c r="J20" s="63">
        <f>2</f>
        <v>2</v>
      </c>
      <c r="K20" s="63"/>
      <c r="L20" s="63"/>
      <c r="M20" s="63"/>
      <c r="N20" s="24" t="s">
        <v>76</v>
      </c>
      <c r="O20" s="12"/>
      <c r="P20" s="12"/>
      <c r="Q20" s="12"/>
      <c r="R20" s="12"/>
      <c r="S20" s="2" t="s">
        <v>125</v>
      </c>
    </row>
    <row r="21" spans="1:23">
      <c r="A21" s="12">
        <v>20</v>
      </c>
      <c r="B21" s="12" t="s">
        <v>29</v>
      </c>
      <c r="C21" s="18" t="s">
        <v>186</v>
      </c>
      <c r="D21" s="18" t="s">
        <v>187</v>
      </c>
      <c r="E21" s="12">
        <f>1+1+1+1+1+1+1+1+1+1+1+1</f>
        <v>12</v>
      </c>
      <c r="F21" s="61">
        <f>1+1+1+1+1+1+1+1+1+1+1+1+1</f>
        <v>13</v>
      </c>
      <c r="G21" s="62">
        <f>1+1+1+1+1+1+1+1+1</f>
        <v>9</v>
      </c>
      <c r="H21" s="46">
        <f t="shared" si="4"/>
        <v>22</v>
      </c>
      <c r="I21" s="63">
        <f t="shared" si="5"/>
        <v>6</v>
      </c>
      <c r="J21" s="63">
        <f>2+2+2</f>
        <v>6</v>
      </c>
      <c r="K21" s="63"/>
      <c r="L21" s="63"/>
      <c r="M21" s="63"/>
      <c r="N21" s="24" t="s">
        <v>76</v>
      </c>
      <c r="O21" s="12">
        <f>1+1+1+1</f>
        <v>4</v>
      </c>
      <c r="P21" s="12">
        <f>1+1</f>
        <v>2</v>
      </c>
      <c r="Q21" s="12"/>
      <c r="R21" s="12"/>
      <c r="S21" s="2" t="s">
        <v>125</v>
      </c>
    </row>
    <row r="22" spans="1:23">
      <c r="A22" s="12"/>
      <c r="B22" s="12" t="s">
        <v>29</v>
      </c>
      <c r="C22" s="17" t="s">
        <v>38</v>
      </c>
      <c r="D22" s="17" t="s">
        <v>188</v>
      </c>
      <c r="E22" s="12"/>
      <c r="F22" s="61"/>
      <c r="G22" s="62"/>
      <c r="H22" s="46">
        <f t="shared" si="4"/>
        <v>0</v>
      </c>
      <c r="I22" s="63">
        <f t="shared" si="5"/>
        <v>0</v>
      </c>
      <c r="J22" s="63"/>
      <c r="K22" s="63"/>
      <c r="L22" s="63"/>
      <c r="M22" s="63"/>
      <c r="N22" s="24" t="s">
        <v>76</v>
      </c>
      <c r="O22" s="12"/>
      <c r="P22" s="12"/>
      <c r="Q22" s="12"/>
      <c r="R22" s="12"/>
      <c r="S22" s="2" t="s">
        <v>125</v>
      </c>
    </row>
    <row r="23" spans="1:23">
      <c r="A23" s="12"/>
      <c r="B23" s="12" t="s">
        <v>29</v>
      </c>
      <c r="C23" s="17" t="s">
        <v>97</v>
      </c>
      <c r="D23" s="17" t="s">
        <v>129</v>
      </c>
      <c r="E23" s="12"/>
      <c r="F23" s="61"/>
      <c r="G23" s="62"/>
      <c r="H23" s="46">
        <f t="shared" si="4"/>
        <v>0</v>
      </c>
      <c r="I23" s="63">
        <f t="shared" si="5"/>
        <v>0</v>
      </c>
      <c r="J23" s="63"/>
      <c r="K23" s="63"/>
      <c r="L23" s="63"/>
      <c r="M23" s="63"/>
      <c r="N23" s="24" t="s">
        <v>76</v>
      </c>
      <c r="O23" s="12"/>
      <c r="P23" s="12"/>
      <c r="Q23" s="12"/>
      <c r="R23" s="12"/>
      <c r="S23" s="2" t="s">
        <v>125</v>
      </c>
    </row>
    <row r="24" spans="1:23">
      <c r="A24" s="12">
        <v>4</v>
      </c>
      <c r="B24" s="12"/>
      <c r="C24" s="18" t="s">
        <v>260</v>
      </c>
      <c r="D24" s="18" t="s">
        <v>187</v>
      </c>
      <c r="E24" s="12">
        <f>1+1+1</f>
        <v>3</v>
      </c>
      <c r="F24" s="61"/>
      <c r="G24" s="62"/>
      <c r="H24" s="46">
        <f t="shared" si="4"/>
        <v>0</v>
      </c>
      <c r="I24" s="63">
        <f t="shared" si="5"/>
        <v>0</v>
      </c>
      <c r="J24" s="63"/>
      <c r="K24" s="63"/>
      <c r="L24" s="63"/>
      <c r="M24" s="63"/>
      <c r="N24" s="24" t="s">
        <v>76</v>
      </c>
      <c r="O24" s="12"/>
      <c r="P24" s="12"/>
      <c r="Q24" s="12"/>
      <c r="R24" s="12"/>
      <c r="S24" s="2" t="s">
        <v>125</v>
      </c>
    </row>
    <row r="25" spans="1:23">
      <c r="A25" s="12"/>
      <c r="B25" s="12"/>
      <c r="C25" s="17"/>
      <c r="D25" s="17" t="s">
        <v>87</v>
      </c>
      <c r="E25" s="12"/>
      <c r="F25" s="61"/>
      <c r="G25" s="62"/>
      <c r="H25" s="46"/>
      <c r="I25" s="63">
        <f t="shared" ref="I25" si="6">SUM(J25:M25)</f>
        <v>6</v>
      </c>
      <c r="J25" s="63">
        <f>2+2+2</f>
        <v>6</v>
      </c>
      <c r="K25" s="63"/>
      <c r="L25" s="63"/>
      <c r="M25" s="63"/>
      <c r="N25" s="24"/>
      <c r="O25" s="12"/>
      <c r="P25" s="12"/>
      <c r="Q25" s="12"/>
      <c r="R25" s="12"/>
      <c r="S25" s="2"/>
    </row>
    <row r="26" spans="1:23" s="1" customFormat="1">
      <c r="F26" s="16">
        <f>SUM(F4:F25)</f>
        <v>84</v>
      </c>
      <c r="G26" s="16">
        <f>SUM(G4:G25)</f>
        <v>67</v>
      </c>
      <c r="H26" s="16">
        <f>SUM(H4:H25)</f>
        <v>151</v>
      </c>
      <c r="I26" s="16">
        <f>SUM(I4:I25)+SUM(I29:I31)</f>
        <v>152</v>
      </c>
      <c r="J26" s="16">
        <f>SUM(J4:J25)+SUM(J29:J31)</f>
        <v>92</v>
      </c>
      <c r="K26" s="16">
        <f>SUM(K4:K25)+SUM(K29:K31)</f>
        <v>0</v>
      </c>
      <c r="L26" s="16">
        <f>SUM(L4:L25)+SUM(L29:L31)</f>
        <v>60</v>
      </c>
      <c r="M26" s="16">
        <f>SUM(M4:M25)+SUM(M29:M31)</f>
        <v>0</v>
      </c>
      <c r="N26" s="16"/>
      <c r="O26" s="16">
        <f>SUM(O4:O25)</f>
        <v>13</v>
      </c>
      <c r="P26" s="16">
        <f>SUM(P4:P25)</f>
        <v>12</v>
      </c>
      <c r="Q26" s="16">
        <f>SUM(Q4:Q25)</f>
        <v>2</v>
      </c>
      <c r="R26" s="16">
        <f>SUM(R4:R25)</f>
        <v>0</v>
      </c>
    </row>
    <row r="27" spans="1:23">
      <c r="A27" s="15" t="s">
        <v>30</v>
      </c>
    </row>
    <row r="28" spans="1:23">
      <c r="A28" s="15" t="s">
        <v>20</v>
      </c>
      <c r="B28" s="15" t="s">
        <v>21</v>
      </c>
      <c r="C28" s="15" t="s">
        <v>22</v>
      </c>
      <c r="D28" s="15"/>
      <c r="E28" s="16" t="s">
        <v>11</v>
      </c>
      <c r="F28" s="16" t="s">
        <v>13</v>
      </c>
      <c r="G28" s="16" t="s">
        <v>31</v>
      </c>
      <c r="H28" s="16" t="s">
        <v>32</v>
      </c>
      <c r="I28" s="16" t="s">
        <v>106</v>
      </c>
      <c r="J28" s="16" t="s">
        <v>105</v>
      </c>
      <c r="K28" s="16" t="s">
        <v>102</v>
      </c>
      <c r="L28" s="16" t="s">
        <v>103</v>
      </c>
      <c r="M28" s="16" t="s">
        <v>104</v>
      </c>
      <c r="N28" s="16" t="s">
        <v>33</v>
      </c>
      <c r="O28" s="16" t="s">
        <v>67</v>
      </c>
      <c r="P28" s="16" t="s">
        <v>34</v>
      </c>
      <c r="Q28" s="16" t="s">
        <v>35</v>
      </c>
      <c r="R28" s="16" t="s">
        <v>36</v>
      </c>
      <c r="S28" s="16" t="s">
        <v>29</v>
      </c>
      <c r="T28" s="16" t="s">
        <v>48</v>
      </c>
      <c r="U28" s="16" t="s">
        <v>10</v>
      </c>
      <c r="V28" s="16" t="s">
        <v>50</v>
      </c>
      <c r="W28" s="16" t="s">
        <v>124</v>
      </c>
    </row>
    <row r="29" spans="1:23">
      <c r="A29" s="12">
        <v>1</v>
      </c>
      <c r="B29" s="12" t="s">
        <v>51</v>
      </c>
      <c r="C29" s="17" t="s">
        <v>164</v>
      </c>
      <c r="D29" s="17" t="s">
        <v>165</v>
      </c>
      <c r="E29" s="12">
        <f>1+1+1+1+1+1+1+1+1+1+1+1</f>
        <v>12</v>
      </c>
      <c r="F29" s="12">
        <f>1+3+0+5+3+0</f>
        <v>12</v>
      </c>
      <c r="G29" s="12">
        <f>6+2+0+21+18+3</f>
        <v>50</v>
      </c>
      <c r="H29" s="19">
        <f>100*(1-(F29/G29))</f>
        <v>76</v>
      </c>
      <c r="I29" s="63">
        <v>0</v>
      </c>
      <c r="J29" s="63"/>
      <c r="K29" s="63"/>
      <c r="L29" s="63"/>
      <c r="M29" s="63"/>
      <c r="N29" s="12">
        <f>8.62+9.5+3.63+26+20+5.68</f>
        <v>73.430000000000007</v>
      </c>
      <c r="O29" s="67">
        <f>F29/(N29/50)</f>
        <v>8.1710472558899632</v>
      </c>
      <c r="P29" s="12"/>
      <c r="Q29" s="12">
        <f>1+1</f>
        <v>2</v>
      </c>
      <c r="R29" s="12">
        <f>1</f>
        <v>1</v>
      </c>
      <c r="S29" s="12"/>
      <c r="T29" s="12" t="s">
        <v>49</v>
      </c>
      <c r="U29" s="24" t="s">
        <v>76</v>
      </c>
      <c r="V29" s="44">
        <f ca="1">N29/((SUMIF('Results + Standings'!$L$4:$M$6,"Southern",'Results + Standings'!$M$4:$M$6))*50)</f>
        <v>0.12238333333333334</v>
      </c>
      <c r="W29" s="1" t="s">
        <v>125</v>
      </c>
    </row>
    <row r="30" spans="1:23">
      <c r="A30" s="12">
        <v>9</v>
      </c>
      <c r="B30" s="12" t="s">
        <v>51</v>
      </c>
      <c r="C30" s="17" t="s">
        <v>152</v>
      </c>
      <c r="D30" s="17" t="s">
        <v>153</v>
      </c>
      <c r="E30" s="12">
        <f>1+1+1+1+1+1+1+1+1+1+1+1</f>
        <v>12</v>
      </c>
      <c r="F30" s="12">
        <f>2+1+3+4+7+1+3+1+6+4+4+3</f>
        <v>39</v>
      </c>
      <c r="G30" s="12">
        <f>20+13+30+23+34+14+19+9+31+31+18+19</f>
        <v>261</v>
      </c>
      <c r="H30" s="19">
        <f>100*(1-(F30/G30))</f>
        <v>85.057471264367805</v>
      </c>
      <c r="I30" s="63">
        <v>0</v>
      </c>
      <c r="J30" s="63"/>
      <c r="K30" s="63"/>
      <c r="L30" s="63"/>
      <c r="M30" s="63"/>
      <c r="N30" s="12">
        <f>50+41.38+50+39.5+46.37+24+50+30+50+50+44.32+50</f>
        <v>525.56999999999994</v>
      </c>
      <c r="O30" s="67">
        <f>F30/(N30/50)</f>
        <v>3.710257434785091</v>
      </c>
      <c r="P30" s="12"/>
      <c r="Q30" s="12">
        <f>1+1+1+1+1+1+1</f>
        <v>7</v>
      </c>
      <c r="R30" s="12">
        <f>1</f>
        <v>1</v>
      </c>
      <c r="S30" s="12"/>
      <c r="T30" s="12" t="s">
        <v>49</v>
      </c>
      <c r="U30" s="24" t="s">
        <v>76</v>
      </c>
      <c r="V30" s="44">
        <f ca="1">N30/((SUMIF('Results + Standings'!$L$4:$M$6,"Southern",'Results + Standings'!$M$4:$M$6))*50)</f>
        <v>0.8759499999999999</v>
      </c>
      <c r="W30" s="1" t="s">
        <v>125</v>
      </c>
    </row>
    <row r="31" spans="1:23">
      <c r="A31" s="12"/>
      <c r="B31" s="12"/>
      <c r="C31" s="17"/>
      <c r="D31" s="17"/>
      <c r="E31" s="12"/>
      <c r="F31" s="12"/>
      <c r="G31" s="12"/>
      <c r="H31" s="19"/>
      <c r="I31" s="63"/>
      <c r="J31" s="63"/>
      <c r="K31" s="63"/>
      <c r="L31" s="63"/>
      <c r="M31" s="63"/>
      <c r="N31" s="12"/>
      <c r="O31" s="67"/>
      <c r="P31" s="12"/>
      <c r="Q31" s="12"/>
      <c r="R31" s="12"/>
      <c r="S31" s="12"/>
      <c r="T31" s="12"/>
      <c r="U31" s="24"/>
      <c r="V31" s="44">
        <f ca="1">N31/((SUMIF('Results + Standings'!$L$4:$M$6,"Southern",'Results + Standings'!$M$4:$M$6))*50)</f>
        <v>0</v>
      </c>
      <c r="W31" s="1"/>
    </row>
    <row r="32" spans="1:23">
      <c r="B32" s="2"/>
      <c r="D32" s="1" t="s">
        <v>151</v>
      </c>
      <c r="E32" s="1"/>
      <c r="F32" s="1">
        <v>1</v>
      </c>
      <c r="G32" s="1"/>
      <c r="H32" s="1"/>
      <c r="I32" s="1"/>
      <c r="J32" s="1"/>
      <c r="K32" s="1"/>
      <c r="L32" s="1"/>
      <c r="M32" s="1"/>
      <c r="N32" s="12">
        <v>1</v>
      </c>
      <c r="O32" s="68"/>
      <c r="P32" s="1"/>
      <c r="Q32" s="1"/>
      <c r="R32" s="1"/>
      <c r="S32" s="36"/>
      <c r="T32" s="36"/>
      <c r="V32" s="44">
        <f ca="1">N32/((SUMIF('Results + Standings'!$L$4:$M$6,"Southern",'Results + Standings'!$M$4:$M$6))*50)</f>
        <v>1.6666666666666668E-3</v>
      </c>
    </row>
    <row r="33" spans="2:22">
      <c r="B33" s="2"/>
      <c r="E33" s="1"/>
      <c r="F33" s="1">
        <f>SUM(F29:F32)</f>
        <v>52</v>
      </c>
      <c r="G33" s="1">
        <f>SUM(G29:G32)</f>
        <v>311</v>
      </c>
      <c r="H33" s="20">
        <f>AVERAGE(H29:H31)</f>
        <v>80.528735632183896</v>
      </c>
      <c r="I33" s="1"/>
      <c r="J33" s="1"/>
      <c r="K33" s="1"/>
      <c r="L33" s="1"/>
      <c r="M33" s="1"/>
      <c r="N33" s="1">
        <f>SUM(N29:N32)</f>
        <v>600</v>
      </c>
      <c r="O33" s="68">
        <f>F33/(N33/45)</f>
        <v>3.9</v>
      </c>
      <c r="P33" s="1">
        <f>SUM(P29:P32)</f>
        <v>0</v>
      </c>
      <c r="Q33" s="1">
        <f>SUM(Q29:Q32)</f>
        <v>9</v>
      </c>
      <c r="R33" s="1">
        <f>SUM(R29:R32)</f>
        <v>2</v>
      </c>
      <c r="S33" s="1">
        <f>SUM(S29:S32)</f>
        <v>0</v>
      </c>
      <c r="T33" s="36"/>
      <c r="U33" s="36"/>
      <c r="V33" s="45">
        <f ca="1">SUM(V29:V32)</f>
        <v>1</v>
      </c>
    </row>
    <row r="34" spans="2:22">
      <c r="E34" s="1"/>
      <c r="F34" s="1"/>
      <c r="G34" s="1"/>
      <c r="H34" s="1"/>
      <c r="I34" s="1"/>
      <c r="J34" s="1"/>
      <c r="L34" s="1"/>
      <c r="M34" s="1"/>
      <c r="N34" s="1"/>
    </row>
    <row r="35" spans="2:2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22"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22" ht="12.75">
      <c r="B37" s="81" t="s">
        <v>136</v>
      </c>
      <c r="C37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22">
      <c r="B38" s="82" t="s">
        <v>137</v>
      </c>
      <c r="C38" s="14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22">
      <c r="B39" s="82" t="s">
        <v>138</v>
      </c>
      <c r="C39" s="14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22">
      <c r="B40" s="14"/>
      <c r="C40" s="14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22">
      <c r="B41" s="82" t="s">
        <v>139</v>
      </c>
      <c r="C41" s="14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22">
      <c r="B42" s="82" t="s">
        <v>190</v>
      </c>
      <c r="C42" s="14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22">
      <c r="B43" s="14"/>
      <c r="C43" s="14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22">
      <c r="B44" s="82"/>
      <c r="C44" s="14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22"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sortState ref="A4:S19">
    <sortCondition ref="B4:B19"/>
    <sortCondition ref="A4:A19"/>
  </sortState>
  <mergeCells count="1">
    <mergeCell ref="A1:N1"/>
  </mergeCells>
  <phoneticPr fontId="2" type="noConversion"/>
  <pageMargins left="0.74803149606299213" right="0.74803149606299213" top="0.98425196850393704" bottom="0.98425196850393704" header="0.51181102362204722" footer="0.51181102362204722"/>
  <pageSetup scale="82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workbookViewId="0">
      <selection activeCell="R30" sqref="R30"/>
    </sheetView>
  </sheetViews>
  <sheetFormatPr defaultColWidth="9.140625" defaultRowHeight="11.25"/>
  <cols>
    <col min="1" max="1" width="4.7109375" style="2" customWidth="1"/>
    <col min="2" max="2" width="4.7109375" style="1" customWidth="1"/>
    <col min="3" max="3" width="15.140625" style="2" bestFit="1" customWidth="1"/>
    <col min="4" max="4" width="14.5703125" style="2" bestFit="1" customWidth="1"/>
    <col min="5" max="7" width="6.7109375" style="14" customWidth="1"/>
    <col min="8" max="8" width="6" style="14" bestFit="1" customWidth="1"/>
    <col min="9" max="9" width="6.7109375" style="14" customWidth="1"/>
    <col min="10" max="10" width="5" style="14" customWidth="1"/>
    <col min="11" max="11" width="6.140625" style="14" bestFit="1" customWidth="1"/>
    <col min="12" max="14" width="5.7109375" style="14" customWidth="1"/>
    <col min="15" max="15" width="5.85546875" style="14" bestFit="1" customWidth="1"/>
    <col min="16" max="16" width="6.28515625" style="14" bestFit="1" customWidth="1"/>
    <col min="17" max="17" width="5.42578125" style="14" bestFit="1" customWidth="1"/>
    <col min="18" max="18" width="4.140625" style="14" bestFit="1" customWidth="1"/>
    <col min="19" max="19" width="3.85546875" style="14" customWidth="1"/>
    <col min="20" max="16384" width="9.140625" style="14"/>
  </cols>
  <sheetData>
    <row r="1" spans="1:19" ht="15.75">
      <c r="A1" s="92" t="s">
        <v>217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3" spans="1:19">
      <c r="A3" s="15" t="s">
        <v>20</v>
      </c>
      <c r="B3" s="16" t="s">
        <v>21</v>
      </c>
      <c r="C3" s="15" t="s">
        <v>64</v>
      </c>
      <c r="D3" s="15" t="s">
        <v>65</v>
      </c>
      <c r="E3" s="16" t="s">
        <v>11</v>
      </c>
      <c r="F3" s="16" t="s">
        <v>23</v>
      </c>
      <c r="G3" s="16" t="s">
        <v>24</v>
      </c>
      <c r="H3" s="16" t="s">
        <v>16</v>
      </c>
      <c r="I3" s="16" t="s">
        <v>106</v>
      </c>
      <c r="J3" s="16" t="s">
        <v>105</v>
      </c>
      <c r="K3" s="16" t="s">
        <v>102</v>
      </c>
      <c r="L3" s="16" t="s">
        <v>103</v>
      </c>
      <c r="M3" s="16" t="s">
        <v>104</v>
      </c>
      <c r="N3" s="16" t="s">
        <v>10</v>
      </c>
      <c r="O3" s="16" t="s">
        <v>26</v>
      </c>
      <c r="P3" s="16" t="s">
        <v>46</v>
      </c>
      <c r="Q3" s="16" t="s">
        <v>27</v>
      </c>
      <c r="R3" s="16" t="s">
        <v>47</v>
      </c>
      <c r="S3" s="15" t="s">
        <v>124</v>
      </c>
    </row>
    <row r="4" spans="1:19">
      <c r="A4" s="12">
        <v>4</v>
      </c>
      <c r="B4" s="12" t="s">
        <v>29</v>
      </c>
      <c r="C4" s="17" t="s">
        <v>219</v>
      </c>
      <c r="D4" s="17" t="s">
        <v>220</v>
      </c>
      <c r="E4" s="12">
        <f t="shared" ref="E4:E10" si="0">1+1+1+1+1+1+1+1+1+1+1+1</f>
        <v>12</v>
      </c>
      <c r="F4" s="61">
        <f>1</f>
        <v>1</v>
      </c>
      <c r="G4" s="62">
        <f>1+1</f>
        <v>2</v>
      </c>
      <c r="H4" s="46">
        <f t="shared" ref="H4:H24" si="1">SUM(F4:G4)</f>
        <v>3</v>
      </c>
      <c r="I4" s="63">
        <f t="shared" ref="I4:I24" si="2">SUM(J4:M4)</f>
        <v>4</v>
      </c>
      <c r="J4" s="63">
        <f>2+2</f>
        <v>4</v>
      </c>
      <c r="K4" s="63"/>
      <c r="L4" s="63"/>
      <c r="M4" s="63"/>
      <c r="N4" s="24" t="s">
        <v>75</v>
      </c>
      <c r="O4" s="37"/>
      <c r="P4" s="37"/>
      <c r="Q4" s="12"/>
      <c r="R4" s="12"/>
      <c r="S4" s="2" t="s">
        <v>221</v>
      </c>
    </row>
    <row r="5" spans="1:19">
      <c r="A5" s="12">
        <v>5</v>
      </c>
      <c r="B5" s="12" t="s">
        <v>29</v>
      </c>
      <c r="C5" s="17" t="s">
        <v>148</v>
      </c>
      <c r="D5" s="17" t="s">
        <v>144</v>
      </c>
      <c r="E5" s="12">
        <f t="shared" si="0"/>
        <v>12</v>
      </c>
      <c r="F5" s="61"/>
      <c r="G5" s="62">
        <f>1+1+1</f>
        <v>3</v>
      </c>
      <c r="H5" s="46">
        <f t="shared" si="1"/>
        <v>3</v>
      </c>
      <c r="I5" s="63">
        <f t="shared" si="2"/>
        <v>2</v>
      </c>
      <c r="J5" s="63">
        <f>2</f>
        <v>2</v>
      </c>
      <c r="K5" s="63"/>
      <c r="L5" s="63"/>
      <c r="M5" s="63"/>
      <c r="N5" s="24" t="s">
        <v>75</v>
      </c>
      <c r="O5" s="37"/>
      <c r="P5" s="37">
        <f>1</f>
        <v>1</v>
      </c>
      <c r="Q5" s="12"/>
      <c r="R5" s="12">
        <f>1</f>
        <v>1</v>
      </c>
      <c r="S5" s="2" t="s">
        <v>234</v>
      </c>
    </row>
    <row r="6" spans="1:19">
      <c r="A6" s="12">
        <v>8</v>
      </c>
      <c r="B6" s="12" t="s">
        <v>29</v>
      </c>
      <c r="C6" s="17" t="s">
        <v>226</v>
      </c>
      <c r="D6" s="17" t="s">
        <v>227</v>
      </c>
      <c r="E6" s="12">
        <f t="shared" si="0"/>
        <v>12</v>
      </c>
      <c r="F6" s="61"/>
      <c r="G6" s="62"/>
      <c r="H6" s="46">
        <f t="shared" si="1"/>
        <v>0</v>
      </c>
      <c r="I6" s="63">
        <f t="shared" si="2"/>
        <v>4</v>
      </c>
      <c r="J6" s="63">
        <f>2+2</f>
        <v>4</v>
      </c>
      <c r="K6" s="63"/>
      <c r="L6" s="63"/>
      <c r="M6" s="63"/>
      <c r="N6" s="24" t="s">
        <v>75</v>
      </c>
      <c r="O6" s="37"/>
      <c r="P6" s="37"/>
      <c r="Q6" s="12"/>
      <c r="R6" s="12"/>
      <c r="S6" s="2" t="s">
        <v>125</v>
      </c>
    </row>
    <row r="7" spans="1:19">
      <c r="A7" s="12">
        <v>10</v>
      </c>
      <c r="B7" s="12" t="s">
        <v>29</v>
      </c>
      <c r="C7" s="17" t="s">
        <v>246</v>
      </c>
      <c r="D7" s="17" t="s">
        <v>247</v>
      </c>
      <c r="E7" s="12">
        <f t="shared" si="0"/>
        <v>12</v>
      </c>
      <c r="F7" s="61">
        <f>1+1+1+1+1</f>
        <v>5</v>
      </c>
      <c r="G7" s="62">
        <f>1+1+1+1+1+1+1+1</f>
        <v>8</v>
      </c>
      <c r="H7" s="46">
        <f t="shared" si="1"/>
        <v>13</v>
      </c>
      <c r="I7" s="63">
        <f t="shared" si="2"/>
        <v>16</v>
      </c>
      <c r="J7" s="63">
        <f>2+2+2+2+2+2+2+2</f>
        <v>16</v>
      </c>
      <c r="K7" s="63"/>
      <c r="L7" s="63"/>
      <c r="M7" s="63"/>
      <c r="N7" s="24" t="s">
        <v>75</v>
      </c>
      <c r="O7" s="37">
        <f>1</f>
        <v>1</v>
      </c>
      <c r="P7" s="37">
        <f>1+1</f>
        <v>2</v>
      </c>
      <c r="Q7" s="12"/>
      <c r="R7" s="12">
        <f>1</f>
        <v>1</v>
      </c>
      <c r="S7" s="2" t="s">
        <v>125</v>
      </c>
    </row>
    <row r="8" spans="1:19">
      <c r="A8" s="12">
        <v>11</v>
      </c>
      <c r="B8" s="12" t="s">
        <v>29</v>
      </c>
      <c r="C8" s="17" t="s">
        <v>88</v>
      </c>
      <c r="D8" s="17" t="s">
        <v>143</v>
      </c>
      <c r="E8" s="12">
        <f t="shared" si="0"/>
        <v>12</v>
      </c>
      <c r="F8" s="61">
        <f>1+1+1+1+1</f>
        <v>5</v>
      </c>
      <c r="G8" s="62">
        <f>1+1+1+1</f>
        <v>4</v>
      </c>
      <c r="H8" s="46">
        <f t="shared" si="1"/>
        <v>9</v>
      </c>
      <c r="I8" s="63">
        <f t="shared" si="2"/>
        <v>8</v>
      </c>
      <c r="J8" s="63">
        <f>2+2+2+2</f>
        <v>8</v>
      </c>
      <c r="K8" s="63"/>
      <c r="L8" s="63"/>
      <c r="M8" s="63"/>
      <c r="N8" s="24" t="s">
        <v>75</v>
      </c>
      <c r="O8" s="37">
        <f>1+1+1</f>
        <v>3</v>
      </c>
      <c r="P8" s="37"/>
      <c r="Q8" s="12"/>
      <c r="R8" s="12"/>
      <c r="S8" s="2" t="s">
        <v>125</v>
      </c>
    </row>
    <row r="9" spans="1:19">
      <c r="A9" s="12">
        <v>14</v>
      </c>
      <c r="B9" s="12" t="s">
        <v>29</v>
      </c>
      <c r="C9" s="17" t="s">
        <v>147</v>
      </c>
      <c r="D9" s="17" t="s">
        <v>89</v>
      </c>
      <c r="E9" s="12">
        <f t="shared" si="0"/>
        <v>12</v>
      </c>
      <c r="F9" s="61"/>
      <c r="G9" s="62">
        <f>1</f>
        <v>1</v>
      </c>
      <c r="H9" s="46">
        <f t="shared" si="1"/>
        <v>1</v>
      </c>
      <c r="I9" s="63">
        <f t="shared" si="2"/>
        <v>0</v>
      </c>
      <c r="J9" s="63"/>
      <c r="K9" s="63"/>
      <c r="L9" s="63"/>
      <c r="M9" s="63"/>
      <c r="N9" s="24" t="s">
        <v>75</v>
      </c>
      <c r="O9" s="37"/>
      <c r="P9" s="37"/>
      <c r="Q9" s="12"/>
      <c r="R9" s="12"/>
      <c r="S9" s="2" t="s">
        <v>125</v>
      </c>
    </row>
    <row r="10" spans="1:19">
      <c r="A10" s="12">
        <v>19</v>
      </c>
      <c r="B10" s="12" t="s">
        <v>29</v>
      </c>
      <c r="C10" s="17" t="s">
        <v>237</v>
      </c>
      <c r="D10" s="17" t="s">
        <v>142</v>
      </c>
      <c r="E10" s="12">
        <f t="shared" si="0"/>
        <v>12</v>
      </c>
      <c r="F10" s="61">
        <f>1+1+1+1+1</f>
        <v>5</v>
      </c>
      <c r="G10" s="62">
        <f>1+1+1</f>
        <v>3</v>
      </c>
      <c r="H10" s="46">
        <f t="shared" si="1"/>
        <v>8</v>
      </c>
      <c r="I10" s="63">
        <f t="shared" si="2"/>
        <v>2</v>
      </c>
      <c r="J10" s="63">
        <f>2</f>
        <v>2</v>
      </c>
      <c r="K10" s="63"/>
      <c r="L10" s="63"/>
      <c r="M10" s="63"/>
      <c r="N10" s="24" t="s">
        <v>75</v>
      </c>
      <c r="O10" s="37"/>
      <c r="P10" s="37">
        <f>1</f>
        <v>1</v>
      </c>
      <c r="Q10" s="12"/>
      <c r="R10" s="12"/>
      <c r="S10" s="2" t="s">
        <v>125</v>
      </c>
    </row>
    <row r="11" spans="1:19">
      <c r="A11" s="12">
        <v>22</v>
      </c>
      <c r="B11" s="12" t="s">
        <v>29</v>
      </c>
      <c r="C11" s="18" t="s">
        <v>228</v>
      </c>
      <c r="D11" s="18" t="s">
        <v>229</v>
      </c>
      <c r="E11" s="12"/>
      <c r="F11" s="61"/>
      <c r="G11" s="62"/>
      <c r="H11" s="46">
        <f t="shared" si="1"/>
        <v>0</v>
      </c>
      <c r="I11" s="63">
        <f t="shared" si="2"/>
        <v>0</v>
      </c>
      <c r="J11" s="63"/>
      <c r="K11" s="63"/>
      <c r="L11" s="63"/>
      <c r="M11" s="63"/>
      <c r="N11" s="24" t="s">
        <v>75</v>
      </c>
      <c r="O11" s="37"/>
      <c r="P11" s="37"/>
      <c r="Q11" s="12"/>
      <c r="R11" s="12"/>
      <c r="S11" s="2" t="s">
        <v>125</v>
      </c>
    </row>
    <row r="12" spans="1:19">
      <c r="A12" s="12">
        <v>24</v>
      </c>
      <c r="B12" s="12" t="s">
        <v>29</v>
      </c>
      <c r="C12" s="17" t="s">
        <v>240</v>
      </c>
      <c r="D12" s="17" t="s">
        <v>239</v>
      </c>
      <c r="E12" s="12">
        <f>1+1+1+1+1+1+1+1</f>
        <v>8</v>
      </c>
      <c r="F12" s="61"/>
      <c r="G12" s="62">
        <f>1</f>
        <v>1</v>
      </c>
      <c r="H12" s="46">
        <f t="shared" si="1"/>
        <v>1</v>
      </c>
      <c r="I12" s="63">
        <f t="shared" si="2"/>
        <v>0</v>
      </c>
      <c r="J12" s="63"/>
      <c r="K12" s="63"/>
      <c r="L12" s="63"/>
      <c r="M12" s="63"/>
      <c r="N12" s="24" t="s">
        <v>75</v>
      </c>
      <c r="O12" s="37"/>
      <c r="P12" s="37"/>
      <c r="Q12" s="12"/>
      <c r="R12" s="12"/>
      <c r="S12" s="2" t="s">
        <v>125</v>
      </c>
    </row>
    <row r="13" spans="1:19">
      <c r="A13" s="12">
        <v>2</v>
      </c>
      <c r="B13" s="12" t="s">
        <v>28</v>
      </c>
      <c r="C13" s="18" t="s">
        <v>232</v>
      </c>
      <c r="D13" s="18" t="s">
        <v>233</v>
      </c>
      <c r="E13" s="12">
        <f>1+1+1+1+1+1+1+1+1+1+1+1</f>
        <v>12</v>
      </c>
      <c r="F13" s="61">
        <f>1+1</f>
        <v>2</v>
      </c>
      <c r="G13" s="62">
        <f>1+1</f>
        <v>2</v>
      </c>
      <c r="H13" s="46">
        <f t="shared" si="1"/>
        <v>4</v>
      </c>
      <c r="I13" s="63">
        <f t="shared" si="2"/>
        <v>0</v>
      </c>
      <c r="J13" s="63"/>
      <c r="K13" s="63"/>
      <c r="L13" s="63"/>
      <c r="M13" s="63"/>
      <c r="N13" s="24" t="s">
        <v>75</v>
      </c>
      <c r="O13" s="37"/>
      <c r="P13" s="37"/>
      <c r="Q13" s="12"/>
      <c r="R13" s="12"/>
      <c r="S13" s="2" t="s">
        <v>125</v>
      </c>
    </row>
    <row r="14" spans="1:19">
      <c r="A14" s="12">
        <v>3</v>
      </c>
      <c r="B14" s="12" t="s">
        <v>28</v>
      </c>
      <c r="C14" s="18" t="s">
        <v>141</v>
      </c>
      <c r="D14" s="18" t="s">
        <v>63</v>
      </c>
      <c r="E14" s="12">
        <f>1+1+1+1+1+1+1+1+1+1+1+1</f>
        <v>12</v>
      </c>
      <c r="F14" s="61">
        <f>1+1+1+1+1+1+1+1+1+1+1+1+1+1</f>
        <v>14</v>
      </c>
      <c r="G14" s="62">
        <f>1+1+1+1+1</f>
        <v>5</v>
      </c>
      <c r="H14" s="46">
        <f t="shared" si="1"/>
        <v>19</v>
      </c>
      <c r="I14" s="63">
        <f t="shared" si="2"/>
        <v>28</v>
      </c>
      <c r="J14" s="63">
        <f>2+2+2+2+2+2+2+2+2</f>
        <v>18</v>
      </c>
      <c r="K14" s="63"/>
      <c r="L14" s="63">
        <f>10</f>
        <v>10</v>
      </c>
      <c r="M14" s="63"/>
      <c r="N14" s="24" t="s">
        <v>75</v>
      </c>
      <c r="O14" s="37">
        <f>1+1+1</f>
        <v>3</v>
      </c>
      <c r="P14" s="37">
        <f>1+1+1</f>
        <v>3</v>
      </c>
      <c r="Q14" s="12">
        <f>1</f>
        <v>1</v>
      </c>
      <c r="R14" s="12"/>
      <c r="S14" s="2" t="s">
        <v>125</v>
      </c>
    </row>
    <row r="15" spans="1:19">
      <c r="A15" s="12">
        <v>6</v>
      </c>
      <c r="B15" s="12" t="s">
        <v>28</v>
      </c>
      <c r="C15" s="17" t="s">
        <v>224</v>
      </c>
      <c r="D15" s="17" t="s">
        <v>225</v>
      </c>
      <c r="E15" s="12"/>
      <c r="F15" s="61"/>
      <c r="G15" s="62"/>
      <c r="H15" s="46">
        <f t="shared" si="1"/>
        <v>0</v>
      </c>
      <c r="I15" s="63">
        <f t="shared" si="2"/>
        <v>0</v>
      </c>
      <c r="J15" s="63"/>
      <c r="K15" s="63"/>
      <c r="L15" s="63"/>
      <c r="M15" s="63"/>
      <c r="N15" s="24" t="s">
        <v>75</v>
      </c>
      <c r="O15" s="37"/>
      <c r="P15" s="37"/>
      <c r="Q15" s="12"/>
      <c r="R15" s="12"/>
      <c r="S15" s="2" t="s">
        <v>125</v>
      </c>
    </row>
    <row r="16" spans="1:19">
      <c r="A16" s="12">
        <v>7</v>
      </c>
      <c r="B16" s="12" t="s">
        <v>28</v>
      </c>
      <c r="C16" s="18" t="s">
        <v>235</v>
      </c>
      <c r="D16" s="18" t="s">
        <v>236</v>
      </c>
      <c r="E16" s="12">
        <f>1+1+1+1+1+1+1+1+1+1+1+1</f>
        <v>12</v>
      </c>
      <c r="F16" s="61">
        <f>1+1+1+1+1+1</f>
        <v>6</v>
      </c>
      <c r="G16" s="62">
        <f>1+1+1+1+1+1</f>
        <v>6</v>
      </c>
      <c r="H16" s="46">
        <f t="shared" si="1"/>
        <v>12</v>
      </c>
      <c r="I16" s="63">
        <f t="shared" si="2"/>
        <v>0</v>
      </c>
      <c r="J16" s="63"/>
      <c r="K16" s="63"/>
      <c r="L16" s="63"/>
      <c r="M16" s="63"/>
      <c r="N16" s="24" t="s">
        <v>75</v>
      </c>
      <c r="O16" s="37"/>
      <c r="P16" s="37">
        <f>1</f>
        <v>1</v>
      </c>
      <c r="Q16" s="12">
        <f>1+1</f>
        <v>2</v>
      </c>
      <c r="R16" s="12"/>
      <c r="S16" s="2" t="s">
        <v>125</v>
      </c>
    </row>
    <row r="17" spans="1:23">
      <c r="A17" s="12">
        <v>9</v>
      </c>
      <c r="B17" s="12" t="s">
        <v>28</v>
      </c>
      <c r="C17" s="18" t="s">
        <v>91</v>
      </c>
      <c r="D17" s="18" t="s">
        <v>82</v>
      </c>
      <c r="E17" s="12">
        <f>1+1+1+1+1+1+1+1+1</f>
        <v>9</v>
      </c>
      <c r="F17" s="61">
        <f>1</f>
        <v>1</v>
      </c>
      <c r="G17" s="62">
        <f>1+1+1+1+1+1</f>
        <v>6</v>
      </c>
      <c r="H17" s="46">
        <f t="shared" si="1"/>
        <v>7</v>
      </c>
      <c r="I17" s="63">
        <f t="shared" si="2"/>
        <v>26</v>
      </c>
      <c r="J17" s="63">
        <f>2+2+2</f>
        <v>6</v>
      </c>
      <c r="K17" s="63"/>
      <c r="L17" s="63">
        <f>10+10</f>
        <v>20</v>
      </c>
      <c r="M17" s="63"/>
      <c r="N17" s="24" t="s">
        <v>75</v>
      </c>
      <c r="O17" s="37"/>
      <c r="P17" s="37"/>
      <c r="Q17" s="12"/>
      <c r="R17" s="12"/>
      <c r="S17" s="2" t="s">
        <v>125</v>
      </c>
    </row>
    <row r="18" spans="1:23">
      <c r="A18" s="12">
        <v>12</v>
      </c>
      <c r="B18" s="12" t="s">
        <v>28</v>
      </c>
      <c r="C18" s="18" t="s">
        <v>146</v>
      </c>
      <c r="D18" s="18" t="s">
        <v>86</v>
      </c>
      <c r="E18" s="12">
        <f>1+1+1+1+1+1+1+1+1+1+1+1</f>
        <v>12</v>
      </c>
      <c r="F18" s="61">
        <f>1+1+1+1+1+1+1+1+1+1+1+1+1</f>
        <v>13</v>
      </c>
      <c r="G18" s="62">
        <f>1+1+1+1+1+1+1</f>
        <v>7</v>
      </c>
      <c r="H18" s="46">
        <f t="shared" si="1"/>
        <v>20</v>
      </c>
      <c r="I18" s="63">
        <f t="shared" si="2"/>
        <v>4</v>
      </c>
      <c r="J18" s="63">
        <f>2+2</f>
        <v>4</v>
      </c>
      <c r="K18" s="63"/>
      <c r="L18" s="63"/>
      <c r="M18" s="63"/>
      <c r="N18" s="24" t="s">
        <v>75</v>
      </c>
      <c r="O18" s="37">
        <f>1</f>
        <v>1</v>
      </c>
      <c r="P18" s="37">
        <f>1</f>
        <v>1</v>
      </c>
      <c r="Q18" s="12">
        <f>1</f>
        <v>1</v>
      </c>
      <c r="R18" s="12">
        <f>1</f>
        <v>1</v>
      </c>
      <c r="S18" s="2" t="s">
        <v>125</v>
      </c>
    </row>
    <row r="19" spans="1:23">
      <c r="A19" s="12">
        <v>13</v>
      </c>
      <c r="B19" s="12" t="s">
        <v>28</v>
      </c>
      <c r="C19" s="18" t="s">
        <v>222</v>
      </c>
      <c r="D19" s="17" t="s">
        <v>248</v>
      </c>
      <c r="E19" s="12">
        <f>1+1+1+1+1+1</f>
        <v>6</v>
      </c>
      <c r="F19" s="61"/>
      <c r="G19" s="62"/>
      <c r="H19" s="46">
        <f t="shared" si="1"/>
        <v>0</v>
      </c>
      <c r="I19" s="63">
        <f t="shared" si="2"/>
        <v>0</v>
      </c>
      <c r="J19" s="63"/>
      <c r="K19" s="63"/>
      <c r="L19" s="63"/>
      <c r="M19" s="63"/>
      <c r="N19" s="24" t="s">
        <v>75</v>
      </c>
      <c r="O19" s="37"/>
      <c r="P19" s="37"/>
      <c r="Q19" s="12"/>
      <c r="R19" s="12"/>
      <c r="S19" s="2" t="s">
        <v>125</v>
      </c>
    </row>
    <row r="20" spans="1:23">
      <c r="A20" s="12">
        <v>15</v>
      </c>
      <c r="B20" s="12" t="s">
        <v>28</v>
      </c>
      <c r="C20" s="18" t="s">
        <v>222</v>
      </c>
      <c r="D20" s="18" t="s">
        <v>223</v>
      </c>
      <c r="E20" s="12">
        <f>1+1+1+1+1+1+1+1+1+1+1+1</f>
        <v>12</v>
      </c>
      <c r="F20" s="61"/>
      <c r="G20" s="62">
        <f>1+1</f>
        <v>2</v>
      </c>
      <c r="H20" s="46">
        <f t="shared" si="1"/>
        <v>2</v>
      </c>
      <c r="I20" s="63">
        <f t="shared" si="2"/>
        <v>0</v>
      </c>
      <c r="J20" s="63"/>
      <c r="K20" s="63"/>
      <c r="L20" s="63"/>
      <c r="M20" s="63"/>
      <c r="N20" s="24" t="s">
        <v>75</v>
      </c>
      <c r="O20" s="37"/>
      <c r="P20" s="37"/>
      <c r="Q20" s="12"/>
      <c r="R20" s="12"/>
      <c r="S20" s="2" t="s">
        <v>125</v>
      </c>
    </row>
    <row r="21" spans="1:23">
      <c r="A21" s="12">
        <v>16</v>
      </c>
      <c r="B21" s="12" t="s">
        <v>28</v>
      </c>
      <c r="C21" s="18" t="s">
        <v>90</v>
      </c>
      <c r="D21" s="18" t="s">
        <v>218</v>
      </c>
      <c r="E21" s="12">
        <f>1+1+1+1+1+1+1+1+1+1+1+1</f>
        <v>12</v>
      </c>
      <c r="F21" s="61">
        <f>1+1+1+1+1+1+1</f>
        <v>7</v>
      </c>
      <c r="G21" s="62">
        <f>1+1+1+1+1+1+1+1+1</f>
        <v>9</v>
      </c>
      <c r="H21" s="46">
        <f t="shared" si="1"/>
        <v>16</v>
      </c>
      <c r="I21" s="63">
        <f t="shared" si="2"/>
        <v>2</v>
      </c>
      <c r="J21" s="63">
        <f>2</f>
        <v>2</v>
      </c>
      <c r="K21" s="63"/>
      <c r="L21" s="63"/>
      <c r="M21" s="63"/>
      <c r="N21" s="24" t="s">
        <v>75</v>
      </c>
      <c r="O21" s="37"/>
      <c r="P21" s="37">
        <f>1</f>
        <v>1</v>
      </c>
      <c r="Q21" s="12"/>
      <c r="R21" s="12"/>
      <c r="S21" s="2" t="s">
        <v>125</v>
      </c>
    </row>
    <row r="22" spans="1:23">
      <c r="A22" s="12">
        <v>17</v>
      </c>
      <c r="B22" s="12" t="s">
        <v>28</v>
      </c>
      <c r="C22" s="18" t="s">
        <v>244</v>
      </c>
      <c r="D22" s="18" t="s">
        <v>245</v>
      </c>
      <c r="E22" s="12">
        <f>1+1+1+1+1+1</f>
        <v>6</v>
      </c>
      <c r="F22" s="61"/>
      <c r="G22" s="62"/>
      <c r="H22" s="46">
        <f t="shared" si="1"/>
        <v>0</v>
      </c>
      <c r="I22" s="63">
        <f t="shared" si="2"/>
        <v>0</v>
      </c>
      <c r="J22" s="63"/>
      <c r="K22" s="63"/>
      <c r="L22" s="63"/>
      <c r="M22" s="63"/>
      <c r="N22" s="24" t="s">
        <v>75</v>
      </c>
      <c r="O22" s="37"/>
      <c r="P22" s="37"/>
      <c r="Q22" s="12"/>
      <c r="R22" s="12"/>
      <c r="S22" s="2" t="s">
        <v>243</v>
      </c>
    </row>
    <row r="23" spans="1:23">
      <c r="A23" s="12">
        <v>18</v>
      </c>
      <c r="B23" s="12" t="s">
        <v>28</v>
      </c>
      <c r="C23" s="18" t="s">
        <v>37</v>
      </c>
      <c r="D23" s="18" t="s">
        <v>85</v>
      </c>
      <c r="E23" s="12">
        <f>1+1+1+1+1+1</f>
        <v>6</v>
      </c>
      <c r="F23" s="61">
        <f>1+1+1+1+1+1+1+1</f>
        <v>8</v>
      </c>
      <c r="G23" s="62">
        <f>1+1+1</f>
        <v>3</v>
      </c>
      <c r="H23" s="46">
        <f t="shared" si="1"/>
        <v>11</v>
      </c>
      <c r="I23" s="63">
        <f t="shared" si="2"/>
        <v>2</v>
      </c>
      <c r="J23" s="63">
        <f>2</f>
        <v>2</v>
      </c>
      <c r="K23" s="63"/>
      <c r="L23" s="63"/>
      <c r="M23" s="63"/>
      <c r="N23" s="24" t="s">
        <v>75</v>
      </c>
      <c r="O23" s="37">
        <f>1</f>
        <v>1</v>
      </c>
      <c r="P23" s="37"/>
      <c r="Q23" s="12"/>
      <c r="R23" s="12"/>
      <c r="S23" s="2" t="s">
        <v>125</v>
      </c>
    </row>
    <row r="24" spans="1:23">
      <c r="A24" s="12">
        <v>23</v>
      </c>
      <c r="B24" s="12" t="s">
        <v>28</v>
      </c>
      <c r="C24" s="17" t="s">
        <v>238</v>
      </c>
      <c r="D24" s="17" t="s">
        <v>239</v>
      </c>
      <c r="E24" s="12">
        <f>1+1+1+1+1+1+1+1</f>
        <v>8</v>
      </c>
      <c r="F24" s="61"/>
      <c r="G24" s="62">
        <f>1</f>
        <v>1</v>
      </c>
      <c r="H24" s="46">
        <f t="shared" si="1"/>
        <v>1</v>
      </c>
      <c r="I24" s="63">
        <f t="shared" si="2"/>
        <v>0</v>
      </c>
      <c r="J24" s="63"/>
      <c r="K24" s="63"/>
      <c r="L24" s="63"/>
      <c r="M24" s="63"/>
      <c r="N24" s="24" t="s">
        <v>75</v>
      </c>
      <c r="O24" s="37"/>
      <c r="P24" s="37"/>
      <c r="Q24" s="12"/>
      <c r="R24" s="12"/>
      <c r="S24" s="2" t="s">
        <v>125</v>
      </c>
    </row>
    <row r="25" spans="1:23">
      <c r="A25" s="12"/>
      <c r="B25" s="12"/>
      <c r="C25" s="17"/>
      <c r="D25" s="17" t="s">
        <v>66</v>
      </c>
      <c r="E25" s="12"/>
      <c r="F25" s="61"/>
      <c r="G25" s="62"/>
      <c r="H25" s="46"/>
      <c r="I25" s="63">
        <f t="shared" ref="I25" si="3">SUM(J25:M25)</f>
        <v>12</v>
      </c>
      <c r="J25" s="63">
        <f>2+2+2+2+2+2</f>
        <v>12</v>
      </c>
      <c r="K25" s="63"/>
      <c r="L25" s="63"/>
      <c r="M25" s="63"/>
      <c r="N25" s="24" t="s">
        <v>75</v>
      </c>
      <c r="O25" s="37"/>
      <c r="P25" s="37"/>
      <c r="Q25" s="12"/>
      <c r="R25" s="12"/>
      <c r="S25" s="1"/>
    </row>
    <row r="26" spans="1:23">
      <c r="A26" s="1"/>
      <c r="C26" s="1"/>
      <c r="D26" s="1"/>
      <c r="E26" s="1"/>
      <c r="F26" s="16">
        <f>SUM(F4:F24)</f>
        <v>67</v>
      </c>
      <c r="G26" s="16">
        <f>SUM(G4:G24)</f>
        <v>63</v>
      </c>
      <c r="H26" s="16">
        <f>SUM(H4:H24)</f>
        <v>130</v>
      </c>
      <c r="I26" s="16">
        <f>SUM(I4:I25)+SUM(I29:I31)</f>
        <v>110</v>
      </c>
      <c r="J26" s="16">
        <f>SUM(J4:J25)+SUM(J29:J31)</f>
        <v>80</v>
      </c>
      <c r="K26" s="16">
        <f>SUM(K4:K25)+SUM(K29:K31)</f>
        <v>0</v>
      </c>
      <c r="L26" s="16">
        <f>SUM(L4:L25)+SUM(L29:L31)</f>
        <v>30</v>
      </c>
      <c r="M26" s="16">
        <f>SUM(M4:M25)+SUM(M29:M31)</f>
        <v>0</v>
      </c>
      <c r="N26" s="16"/>
      <c r="O26" s="16">
        <f>SUM(O4:O24)</f>
        <v>9</v>
      </c>
      <c r="P26" s="16">
        <f>SUM(P4:P24)</f>
        <v>10</v>
      </c>
      <c r="Q26" s="16">
        <f>SUM(Q4:Q24)</f>
        <v>4</v>
      </c>
      <c r="R26" s="16">
        <f>SUM(R4:R24)</f>
        <v>3</v>
      </c>
      <c r="S26" s="16"/>
    </row>
    <row r="27" spans="1:23" s="1" customFormat="1">
      <c r="A27" s="15" t="s">
        <v>30</v>
      </c>
      <c r="C27" s="2"/>
      <c r="D27" s="2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23">
      <c r="A28" s="15" t="s">
        <v>20</v>
      </c>
      <c r="B28" s="15" t="s">
        <v>21</v>
      </c>
      <c r="C28" s="15" t="s">
        <v>22</v>
      </c>
      <c r="D28" s="15"/>
      <c r="E28" s="16" t="s">
        <v>11</v>
      </c>
      <c r="F28" s="16" t="s">
        <v>13</v>
      </c>
      <c r="G28" s="16" t="s">
        <v>31</v>
      </c>
      <c r="H28" s="16" t="s">
        <v>32</v>
      </c>
      <c r="I28" s="16" t="s">
        <v>106</v>
      </c>
      <c r="J28" s="16" t="s">
        <v>105</v>
      </c>
      <c r="K28" s="16" t="s">
        <v>102</v>
      </c>
      <c r="L28" s="16" t="s">
        <v>103</v>
      </c>
      <c r="M28" s="16" t="s">
        <v>104</v>
      </c>
      <c r="N28" s="16" t="s">
        <v>33</v>
      </c>
      <c r="O28" s="16" t="s">
        <v>67</v>
      </c>
      <c r="P28" s="16" t="s">
        <v>34</v>
      </c>
      <c r="Q28" s="16" t="s">
        <v>35</v>
      </c>
      <c r="R28" s="16" t="s">
        <v>36</v>
      </c>
      <c r="S28" s="16" t="s">
        <v>29</v>
      </c>
      <c r="T28" s="16" t="s">
        <v>48</v>
      </c>
      <c r="U28" s="16" t="s">
        <v>10</v>
      </c>
      <c r="V28" s="16" t="s">
        <v>50</v>
      </c>
      <c r="W28" s="16" t="s">
        <v>124</v>
      </c>
    </row>
    <row r="29" spans="1:23">
      <c r="A29" s="12">
        <v>1</v>
      </c>
      <c r="B29" s="12" t="s">
        <v>51</v>
      </c>
      <c r="C29" s="17" t="s">
        <v>145</v>
      </c>
      <c r="D29" s="17" t="s">
        <v>140</v>
      </c>
      <c r="E29" s="12">
        <f>1+1+1+1+1+1+1+1+1+1+1+1</f>
        <v>12</v>
      </c>
      <c r="F29" s="12">
        <f>1+3+4+6+2+5+5</f>
        <v>26</v>
      </c>
      <c r="G29" s="12">
        <f>7+15+21+35+5+25+32</f>
        <v>140</v>
      </c>
      <c r="H29" s="88">
        <f>100*(1-(F29/G29))</f>
        <v>81.428571428571431</v>
      </c>
      <c r="I29" s="63">
        <f>SUM(J29:M29)</f>
        <v>0</v>
      </c>
      <c r="J29" s="63"/>
      <c r="K29" s="63"/>
      <c r="L29" s="63"/>
      <c r="M29" s="63"/>
      <c r="N29" s="12">
        <f>23.35+28+47.98+50+17.48+48.5+49.1</f>
        <v>264.40999999999997</v>
      </c>
      <c r="O29" s="67">
        <f>F29/(N29/45)</f>
        <v>4.4249461064256277</v>
      </c>
      <c r="P29" s="12"/>
      <c r="Q29" s="12">
        <f>1+1+1+1+1</f>
        <v>5</v>
      </c>
      <c r="R29" s="12">
        <f>1+1+1</f>
        <v>3</v>
      </c>
      <c r="S29" s="12"/>
      <c r="T29" s="12"/>
      <c r="U29" s="24" t="s">
        <v>75</v>
      </c>
      <c r="V29" s="44">
        <f ca="1">N29/((SUMIF('Results + Standings'!$L$4:$M$6,"Auckland",'Results + Standings'!$M$4:$M$6))*50)</f>
        <v>0.44068333333333326</v>
      </c>
      <c r="W29" s="1" t="s">
        <v>125</v>
      </c>
    </row>
    <row r="30" spans="1:23">
      <c r="A30" s="12">
        <v>20</v>
      </c>
      <c r="B30" s="12" t="s">
        <v>51</v>
      </c>
      <c r="C30" s="18" t="s">
        <v>230</v>
      </c>
      <c r="D30" s="18" t="s">
        <v>231</v>
      </c>
      <c r="E30" s="12">
        <f>1+1+1+1+1+1+1+1+1+1+1+1</f>
        <v>12</v>
      </c>
      <c r="F30" s="12">
        <f>1+3+3+7+1+3+4+3</f>
        <v>25</v>
      </c>
      <c r="G30" s="12">
        <f>12+13+21+35+19+13+19+18</f>
        <v>150</v>
      </c>
      <c r="H30" s="88">
        <f>100*(1-(F30/G30))</f>
        <v>83.333333333333343</v>
      </c>
      <c r="I30" s="63">
        <f>SUM(J30:M30)</f>
        <v>0</v>
      </c>
      <c r="J30" s="63"/>
      <c r="K30" s="63"/>
      <c r="L30" s="63"/>
      <c r="M30" s="63"/>
      <c r="N30" s="12">
        <f>26.65+22+50+50+50+32.52+50+50</f>
        <v>331.17</v>
      </c>
      <c r="O30" s="67">
        <f>F30/(N30/45)</f>
        <v>3.3970468339523507</v>
      </c>
      <c r="P30" s="12"/>
      <c r="Q30" s="12">
        <f>1+1+1+1+1</f>
        <v>5</v>
      </c>
      <c r="R30" s="12"/>
      <c r="S30" s="12">
        <f>1</f>
        <v>1</v>
      </c>
      <c r="T30" s="12"/>
      <c r="U30" s="24" t="s">
        <v>75</v>
      </c>
      <c r="V30" s="44">
        <f ca="1">N30/((SUMIF('Results + Standings'!$L$4:$M$6,"Auckland",'Results + Standings'!$M$4:$M$6))*50)</f>
        <v>0.55195000000000005</v>
      </c>
      <c r="W30" s="1" t="s">
        <v>234</v>
      </c>
    </row>
    <row r="31" spans="1:23">
      <c r="A31" s="12">
        <v>21</v>
      </c>
      <c r="B31" s="12" t="s">
        <v>51</v>
      </c>
      <c r="C31" s="17" t="s">
        <v>241</v>
      </c>
      <c r="D31" s="17" t="s">
        <v>242</v>
      </c>
      <c r="E31" s="12"/>
      <c r="F31" s="12"/>
      <c r="G31" s="12"/>
      <c r="H31" s="88"/>
      <c r="I31" s="63">
        <f>SUM(J31:M31)</f>
        <v>0</v>
      </c>
      <c r="J31" s="63"/>
      <c r="K31" s="63"/>
      <c r="L31" s="63"/>
      <c r="M31" s="63"/>
      <c r="N31" s="12"/>
      <c r="O31" s="67"/>
      <c r="P31" s="12"/>
      <c r="Q31" s="12"/>
      <c r="R31" s="12"/>
      <c r="S31" s="12"/>
      <c r="T31" s="12"/>
      <c r="U31" s="24" t="s">
        <v>75</v>
      </c>
      <c r="V31" s="44">
        <f ca="1">N31/((SUMIF('Results + Standings'!$L$4:$M$6,"Auckland",'Results + Standings'!$M$4:$M$6))*50)</f>
        <v>0</v>
      </c>
      <c r="W31" s="1" t="s">
        <v>243</v>
      </c>
    </row>
    <row r="32" spans="1:23">
      <c r="B32" s="2"/>
      <c r="D32" s="1" t="s">
        <v>151</v>
      </c>
      <c r="E32" s="1"/>
      <c r="F32" s="1"/>
      <c r="G32" s="1"/>
      <c r="H32" s="1"/>
      <c r="I32" s="1"/>
      <c r="J32" s="1"/>
      <c r="K32" s="1"/>
      <c r="L32" s="1"/>
      <c r="M32" s="1"/>
      <c r="N32" s="1">
        <f>2.02+1.5+0.9</f>
        <v>4.42</v>
      </c>
      <c r="O32" s="68"/>
      <c r="P32" s="1"/>
      <c r="Q32" s="1"/>
      <c r="R32" s="1"/>
      <c r="V32" s="44">
        <f ca="1">N32/((SUMIF('Results + Standings'!$L$4:$M$6,"Auckland",'Results + Standings'!$M$4:$M$6))*50)</f>
        <v>7.3666666666666663E-3</v>
      </c>
    </row>
    <row r="33" spans="2:22">
      <c r="B33" s="2"/>
      <c r="D33" s="1"/>
      <c r="E33" s="1">
        <f>SUM(E29:E32)</f>
        <v>24</v>
      </c>
      <c r="F33" s="1">
        <f>SUM(F29:F32)</f>
        <v>51</v>
      </c>
      <c r="G33" s="1">
        <f>SUM(G29:G32)</f>
        <v>290</v>
      </c>
      <c r="H33" s="20">
        <f>AVERAGE(H29:H31)</f>
        <v>82.38095238095238</v>
      </c>
      <c r="I33" s="1">
        <f>SUM(I29:I32)</f>
        <v>0</v>
      </c>
      <c r="J33" s="1"/>
      <c r="K33" s="1"/>
      <c r="L33" s="1"/>
      <c r="M33" s="1"/>
      <c r="N33" s="1">
        <f>SUM(N29:N32)</f>
        <v>599.99999999999989</v>
      </c>
      <c r="O33" s="68">
        <f>F33/(N33/45)</f>
        <v>3.8250000000000011</v>
      </c>
      <c r="P33" s="1">
        <f>SUM(P29:P32)</f>
        <v>0</v>
      </c>
      <c r="Q33" s="1">
        <f>SUM(Q29:Q32)</f>
        <v>10</v>
      </c>
      <c r="R33" s="1">
        <f>SUM(R29:R32)</f>
        <v>3</v>
      </c>
      <c r="S33" s="1">
        <f>SUM(S29:S32)</f>
        <v>1</v>
      </c>
      <c r="U33" s="45"/>
      <c r="V33" s="45">
        <f ca="1">SUM(V29:V32)</f>
        <v>0.99999999999999989</v>
      </c>
    </row>
    <row r="34" spans="2:22"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22" ht="14.25">
      <c r="B35" s="81" t="s">
        <v>149</v>
      </c>
      <c r="C35"/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22">
      <c r="B36" s="82" t="s">
        <v>158</v>
      </c>
      <c r="C36" s="14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22">
      <c r="B37" s="82" t="s">
        <v>159</v>
      </c>
      <c r="C37" s="14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22">
      <c r="B38" s="14"/>
      <c r="C38" s="14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22">
      <c r="B39" s="82" t="s">
        <v>160</v>
      </c>
      <c r="C39" s="14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22">
      <c r="B40" s="82" t="s">
        <v>150</v>
      </c>
      <c r="C40" s="14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22">
      <c r="B41" s="82" t="s">
        <v>249</v>
      </c>
      <c r="C41" s="14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22">
      <c r="B42" s="82"/>
      <c r="C42" s="14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22"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22"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22"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sortState ref="A4:S24">
    <sortCondition ref="B4:B24"/>
    <sortCondition ref="A4:A24"/>
    <sortCondition ref="D4:D24"/>
  </sortState>
  <mergeCells count="1">
    <mergeCell ref="A1:N1"/>
  </mergeCells>
  <phoneticPr fontId="2" type="noConversion"/>
  <pageMargins left="0.74803149606299213" right="0.74803149606299213" top="0.98425196850393704" bottom="0.98425196850393704" header="0.51181102362204722" footer="0.51181102362204722"/>
  <pageSetup scale="76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3:M79"/>
  <sheetViews>
    <sheetView topLeftCell="A4" workbookViewId="0">
      <selection activeCell="D23" sqref="D23"/>
    </sheetView>
  </sheetViews>
  <sheetFormatPr defaultColWidth="9.140625" defaultRowHeight="12.75"/>
  <cols>
    <col min="1" max="1" width="8.42578125" style="38" customWidth="1"/>
    <col min="2" max="2" width="6.5703125" customWidth="1"/>
    <col min="3" max="3" width="11.85546875" bestFit="1" customWidth="1"/>
    <col min="4" max="4" width="11.28515625" customWidth="1"/>
    <col min="5" max="5" width="8" bestFit="1" customWidth="1"/>
    <col min="6" max="6" width="10.28515625" bestFit="1" customWidth="1"/>
    <col min="7" max="7" width="12" bestFit="1" customWidth="1"/>
    <col min="8" max="8" width="10.85546875" bestFit="1" customWidth="1"/>
    <col min="9" max="9" width="8.7109375" bestFit="1" customWidth="1"/>
    <col min="10" max="10" width="10.28515625" bestFit="1" customWidth="1"/>
    <col min="11" max="11" width="7.28515625" bestFit="1" customWidth="1"/>
  </cols>
  <sheetData>
    <row r="13" spans="1:13" ht="15.75">
      <c r="A13" s="92" t="s">
        <v>254</v>
      </c>
      <c r="B13" s="92"/>
      <c r="C13" s="92"/>
      <c r="D13" s="92"/>
      <c r="E13" s="92"/>
      <c r="F13" s="92"/>
      <c r="G13" s="92"/>
      <c r="H13" s="92"/>
      <c r="I13" s="92"/>
      <c r="J13" s="92"/>
      <c r="K13" s="48"/>
      <c r="L13" s="48"/>
      <c r="M13" s="48"/>
    </row>
    <row r="14" spans="1:1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3.5" customHeight="1">
      <c r="A15" s="73" t="s">
        <v>20</v>
      </c>
      <c r="B15" s="73" t="s">
        <v>21</v>
      </c>
      <c r="C15" s="74" t="s">
        <v>64</v>
      </c>
      <c r="D15" s="74" t="s">
        <v>65</v>
      </c>
      <c r="E15" s="73" t="s">
        <v>11</v>
      </c>
      <c r="F15" s="73" t="s">
        <v>23</v>
      </c>
      <c r="G15" s="73" t="s">
        <v>24</v>
      </c>
      <c r="H15" s="73" t="s">
        <v>16</v>
      </c>
      <c r="I15" s="73" t="s">
        <v>25</v>
      </c>
      <c r="J15" s="73" t="s">
        <v>39</v>
      </c>
      <c r="K15" s="73" t="s">
        <v>70</v>
      </c>
    </row>
    <row r="16" spans="1:13">
      <c r="A16" s="83">
        <f>Southern!A11</f>
        <v>14</v>
      </c>
      <c r="B16" s="83" t="str">
        <f>Southern!B11</f>
        <v>F</v>
      </c>
      <c r="C16" s="84" t="str">
        <f>Southern!C11</f>
        <v>Harrison</v>
      </c>
      <c r="D16" s="84" t="str">
        <f>Southern!D11</f>
        <v>Macharg ©</v>
      </c>
      <c r="E16" s="83">
        <f>Southern!E11</f>
        <v>12</v>
      </c>
      <c r="F16" s="83">
        <f>Southern!F11</f>
        <v>22</v>
      </c>
      <c r="G16" s="83">
        <f>Southern!G11</f>
        <v>15</v>
      </c>
      <c r="H16" s="83">
        <f>Southern!H11</f>
        <v>37</v>
      </c>
      <c r="I16" s="85">
        <f>Southern!I11</f>
        <v>14</v>
      </c>
      <c r="J16" s="86" t="str">
        <f>Southern!N11</f>
        <v>STH</v>
      </c>
      <c r="K16" s="86">
        <v>1</v>
      </c>
    </row>
    <row r="17" spans="1:11">
      <c r="A17" s="12">
        <f>Southern!A16</f>
        <v>11</v>
      </c>
      <c r="B17" s="12" t="str">
        <f>Southern!B16</f>
        <v>D</v>
      </c>
      <c r="C17" s="18" t="str">
        <f>Southern!C16</f>
        <v>Ben</v>
      </c>
      <c r="D17" s="18" t="str">
        <f>Southern!D16</f>
        <v>Harford (A)</v>
      </c>
      <c r="E17" s="12">
        <f>Southern!E16</f>
        <v>12</v>
      </c>
      <c r="F17" s="12">
        <f>Southern!F16</f>
        <v>19</v>
      </c>
      <c r="G17" s="12">
        <f>Southern!G16</f>
        <v>5</v>
      </c>
      <c r="H17" s="87">
        <f>Southern!H16</f>
        <v>24</v>
      </c>
      <c r="I17" s="23">
        <f>Southern!I16</f>
        <v>56</v>
      </c>
      <c r="J17" s="24" t="str">
        <f>Southern!N16</f>
        <v>STH</v>
      </c>
      <c r="K17" s="24">
        <v>2</v>
      </c>
    </row>
    <row r="18" spans="1:11">
      <c r="A18" s="83">
        <f>Southern!A21</f>
        <v>20</v>
      </c>
      <c r="B18" s="83" t="str">
        <f>Southern!B21</f>
        <v>D</v>
      </c>
      <c r="C18" s="84" t="str">
        <f>Southern!C21</f>
        <v>Matt</v>
      </c>
      <c r="D18" s="84" t="str">
        <f>Southern!D21</f>
        <v>Dodds</v>
      </c>
      <c r="E18" s="83">
        <f>Southern!E21</f>
        <v>12</v>
      </c>
      <c r="F18" s="83">
        <f>Southern!F21</f>
        <v>13</v>
      </c>
      <c r="G18" s="83">
        <f>Southern!G21</f>
        <v>9</v>
      </c>
      <c r="H18" s="83">
        <f>Southern!H21</f>
        <v>22</v>
      </c>
      <c r="I18" s="85">
        <f>Southern!I21</f>
        <v>6</v>
      </c>
      <c r="J18" s="86" t="str">
        <f>Southern!N21</f>
        <v>STH</v>
      </c>
      <c r="K18" s="86">
        <v>3</v>
      </c>
    </row>
    <row r="19" spans="1:11">
      <c r="A19" s="12">
        <f>Auckland!A18</f>
        <v>12</v>
      </c>
      <c r="B19" s="12" t="str">
        <f>Auckland!B18</f>
        <v>F</v>
      </c>
      <c r="C19" s="18" t="str">
        <f>Auckland!C18</f>
        <v>Mak</v>
      </c>
      <c r="D19" s="18" t="str">
        <f>Auckland!D18</f>
        <v>Rawiri</v>
      </c>
      <c r="E19" s="12">
        <f>Auckland!E18</f>
        <v>12</v>
      </c>
      <c r="F19" s="12">
        <f>Auckland!F18</f>
        <v>13</v>
      </c>
      <c r="G19" s="12">
        <f>Auckland!G18</f>
        <v>7</v>
      </c>
      <c r="H19" s="87">
        <f>Auckland!H18</f>
        <v>20</v>
      </c>
      <c r="I19" s="23">
        <f>Auckland!I18</f>
        <v>4</v>
      </c>
      <c r="J19" s="24" t="str">
        <f>Auckland!N18</f>
        <v>AKL</v>
      </c>
      <c r="K19" s="24">
        <v>4</v>
      </c>
    </row>
    <row r="20" spans="1:11">
      <c r="A20" s="83">
        <f>Southern!A9</f>
        <v>8</v>
      </c>
      <c r="B20" s="83" t="str">
        <f>Southern!B9</f>
        <v>F</v>
      </c>
      <c r="C20" s="84" t="str">
        <f>Southern!C9</f>
        <v>Kristin</v>
      </c>
      <c r="D20" s="84" t="str">
        <f>Southern!D9</f>
        <v>Smith</v>
      </c>
      <c r="E20" s="83">
        <f>Southern!E9</f>
        <v>12</v>
      </c>
      <c r="F20" s="83">
        <f>Southern!F9</f>
        <v>11</v>
      </c>
      <c r="G20" s="83">
        <f>Southern!G9</f>
        <v>9</v>
      </c>
      <c r="H20" s="83">
        <f>Southern!H9</f>
        <v>20</v>
      </c>
      <c r="I20" s="85">
        <f>Southern!I9</f>
        <v>20</v>
      </c>
      <c r="J20" s="86" t="str">
        <f>Southern!N9</f>
        <v>STH</v>
      </c>
      <c r="K20" s="86">
        <v>5</v>
      </c>
    </row>
    <row r="21" spans="1:11">
      <c r="A21" s="12">
        <f>Auckland!A14</f>
        <v>3</v>
      </c>
      <c r="B21" s="12" t="str">
        <f>Auckland!B14</f>
        <v>F</v>
      </c>
      <c r="C21" s="18" t="str">
        <f>Auckland!C14</f>
        <v>Jansson</v>
      </c>
      <c r="D21" s="18" t="str">
        <f>Auckland!D14</f>
        <v>Joshua</v>
      </c>
      <c r="E21" s="12">
        <f>Auckland!E14</f>
        <v>12</v>
      </c>
      <c r="F21" s="12">
        <f>Auckland!F14</f>
        <v>14</v>
      </c>
      <c r="G21" s="12">
        <f>Auckland!G14</f>
        <v>5</v>
      </c>
      <c r="H21" s="87">
        <f>Auckland!H14</f>
        <v>19</v>
      </c>
      <c r="I21" s="23">
        <f>Auckland!I14</f>
        <v>28</v>
      </c>
      <c r="J21" s="24" t="str">
        <f>Auckland!N14</f>
        <v>AKL</v>
      </c>
      <c r="K21" s="24">
        <v>6</v>
      </c>
    </row>
    <row r="22" spans="1:11">
      <c r="A22" s="83">
        <f>Southern!A10</f>
        <v>10</v>
      </c>
      <c r="B22" s="83" t="str">
        <f>Southern!B10</f>
        <v>F</v>
      </c>
      <c r="C22" s="84" t="str">
        <f>Southern!C10</f>
        <v>Liam</v>
      </c>
      <c r="D22" s="84" t="str">
        <f>Southern!D10</f>
        <v>Kinraid</v>
      </c>
      <c r="E22" s="83">
        <f>Southern!E10</f>
        <v>12</v>
      </c>
      <c r="F22" s="83">
        <f>Southern!F10</f>
        <v>6</v>
      </c>
      <c r="G22" s="83">
        <f>Southern!G10</f>
        <v>12</v>
      </c>
      <c r="H22" s="83">
        <f>Southern!H10</f>
        <v>18</v>
      </c>
      <c r="I22" s="85">
        <f>Southern!I10</f>
        <v>16</v>
      </c>
      <c r="J22" s="86" t="str">
        <f>Southern!N10</f>
        <v>STH</v>
      </c>
      <c r="K22" s="86">
        <v>7</v>
      </c>
    </row>
    <row r="23" spans="1:11">
      <c r="A23" s="12">
        <f>Auckland!A21</f>
        <v>16</v>
      </c>
      <c r="B23" s="12" t="str">
        <f>Auckland!B21</f>
        <v>F</v>
      </c>
      <c r="C23" s="18" t="str">
        <f>Auckland!C21</f>
        <v>Felipe</v>
      </c>
      <c r="D23" s="18" t="str">
        <f>Auckland!D21</f>
        <v>Aguirre  Landshoeft</v>
      </c>
      <c r="E23" s="12">
        <f>Auckland!E21</f>
        <v>12</v>
      </c>
      <c r="F23" s="12">
        <f>Auckland!F21</f>
        <v>7</v>
      </c>
      <c r="G23" s="12">
        <f>Auckland!G21</f>
        <v>9</v>
      </c>
      <c r="H23" s="87">
        <f>Auckland!H21</f>
        <v>16</v>
      </c>
      <c r="I23" s="23">
        <f>Auckland!I21</f>
        <v>2</v>
      </c>
      <c r="J23" s="24" t="str">
        <f>Auckland!N21</f>
        <v>AKL</v>
      </c>
      <c r="K23" s="24">
        <v>8</v>
      </c>
    </row>
    <row r="24" spans="1:11">
      <c r="A24" s="83">
        <f>Canterbury!A16</f>
        <v>14</v>
      </c>
      <c r="B24" s="83" t="str">
        <f>Canterbury!B16</f>
        <v>F</v>
      </c>
      <c r="C24" s="84" t="str">
        <f>Canterbury!C16</f>
        <v>Leon</v>
      </c>
      <c r="D24" s="84" t="str">
        <f>Canterbury!D16</f>
        <v>Forgues (A)</v>
      </c>
      <c r="E24" s="83">
        <f>Canterbury!E16</f>
        <v>12</v>
      </c>
      <c r="F24" s="83">
        <f>Canterbury!F16</f>
        <v>10</v>
      </c>
      <c r="G24" s="83">
        <f>Canterbury!G16</f>
        <v>5</v>
      </c>
      <c r="H24" s="83">
        <f>Canterbury!H16</f>
        <v>15</v>
      </c>
      <c r="I24" s="85">
        <f>Canterbury!I16</f>
        <v>6</v>
      </c>
      <c r="J24" s="86" t="str">
        <f>Canterbury!N16</f>
        <v>CANT</v>
      </c>
      <c r="K24" s="86">
        <v>9</v>
      </c>
    </row>
    <row r="25" spans="1:11">
      <c r="A25" s="12">
        <f>Canterbury!A21</f>
        <v>28</v>
      </c>
      <c r="B25" s="12" t="str">
        <f>Canterbury!B21</f>
        <v>F</v>
      </c>
      <c r="C25" s="18" t="str">
        <f>Canterbury!C21</f>
        <v>Shaun</v>
      </c>
      <c r="D25" s="18" t="str">
        <f>Canterbury!D21</f>
        <v>Brown ©</v>
      </c>
      <c r="E25" s="12">
        <f>Canterbury!E21</f>
        <v>12</v>
      </c>
      <c r="F25" s="12">
        <f>Canterbury!F21</f>
        <v>10</v>
      </c>
      <c r="G25" s="12">
        <f>Canterbury!G21</f>
        <v>5</v>
      </c>
      <c r="H25" s="87">
        <f>Canterbury!H21</f>
        <v>15</v>
      </c>
      <c r="I25" s="23">
        <f>Canterbury!I21</f>
        <v>20</v>
      </c>
      <c r="J25" s="24" t="str">
        <f>Canterbury!N21</f>
        <v>CANT</v>
      </c>
      <c r="K25" s="24">
        <v>10</v>
      </c>
    </row>
    <row r="26" spans="1:11">
      <c r="A26" s="83">
        <f>Canterbury!A18</f>
        <v>20</v>
      </c>
      <c r="B26" s="83" t="str">
        <f>Canterbury!B18</f>
        <v>F</v>
      </c>
      <c r="C26" s="84" t="str">
        <f>Canterbury!C18</f>
        <v>Rom</v>
      </c>
      <c r="D26" s="84" t="str">
        <f>Canterbury!D18</f>
        <v>van Stolk (A)</v>
      </c>
      <c r="E26" s="83">
        <f>Canterbury!E18</f>
        <v>12</v>
      </c>
      <c r="F26" s="83">
        <f>Canterbury!F18</f>
        <v>9</v>
      </c>
      <c r="G26" s="83">
        <f>Canterbury!G18</f>
        <v>5</v>
      </c>
      <c r="H26" s="83">
        <f>Canterbury!H18</f>
        <v>14</v>
      </c>
      <c r="I26" s="85">
        <f>Canterbury!I18</f>
        <v>22</v>
      </c>
      <c r="J26" s="86" t="str">
        <f>Canterbury!N18</f>
        <v>CANT</v>
      </c>
      <c r="K26" s="86">
        <v>11</v>
      </c>
    </row>
    <row r="27" spans="1:11">
      <c r="A27" s="12">
        <f>Auckland!A7</f>
        <v>10</v>
      </c>
      <c r="B27" s="12" t="str">
        <f>Auckland!B7</f>
        <v>D</v>
      </c>
      <c r="C27" s="18" t="str">
        <f>Auckland!C7</f>
        <v>Jaimeson Lee Jones</v>
      </c>
      <c r="D27" s="18" t="str">
        <f>Auckland!D7</f>
        <v>Taute</v>
      </c>
      <c r="E27" s="12">
        <f>Auckland!E7</f>
        <v>12</v>
      </c>
      <c r="F27" s="12">
        <f>Auckland!F7</f>
        <v>5</v>
      </c>
      <c r="G27" s="12">
        <f>Auckland!G7</f>
        <v>8</v>
      </c>
      <c r="H27" s="87">
        <f>Auckland!H7</f>
        <v>13</v>
      </c>
      <c r="I27" s="23">
        <f>Auckland!I7</f>
        <v>16</v>
      </c>
      <c r="J27" s="24" t="str">
        <f>Auckland!N7</f>
        <v>AKL</v>
      </c>
      <c r="K27" s="24">
        <v>12</v>
      </c>
    </row>
    <row r="28" spans="1:11">
      <c r="A28" s="83">
        <f>Auckland!A16</f>
        <v>7</v>
      </c>
      <c r="B28" s="83" t="str">
        <f>Auckland!B16</f>
        <v>F</v>
      </c>
      <c r="C28" s="84" t="str">
        <f>Auckland!C16</f>
        <v>Jayden</v>
      </c>
      <c r="D28" s="84" t="str">
        <f>Auckland!D16</f>
        <v>Lisowski</v>
      </c>
      <c r="E28" s="83">
        <f>Auckland!E16</f>
        <v>12</v>
      </c>
      <c r="F28" s="83">
        <f>Auckland!F16</f>
        <v>6</v>
      </c>
      <c r="G28" s="83">
        <f>Auckland!G16</f>
        <v>6</v>
      </c>
      <c r="H28" s="83">
        <f>Auckland!H16</f>
        <v>12</v>
      </c>
      <c r="I28" s="85">
        <f>Auckland!I16</f>
        <v>0</v>
      </c>
      <c r="J28" s="86" t="str">
        <f>Auckland!N16</f>
        <v>AKL</v>
      </c>
      <c r="K28" s="86">
        <v>13</v>
      </c>
    </row>
    <row r="29" spans="1:11">
      <c r="A29" s="12">
        <f>Auckland!A23</f>
        <v>18</v>
      </c>
      <c r="B29" s="12" t="str">
        <f>Auckland!B23</f>
        <v>F</v>
      </c>
      <c r="C29" s="18" t="str">
        <f>Auckland!C23</f>
        <v>Logan</v>
      </c>
      <c r="D29" s="18" t="str">
        <f>Auckland!D23</f>
        <v>Fraser</v>
      </c>
      <c r="E29" s="12">
        <f>Auckland!E23</f>
        <v>6</v>
      </c>
      <c r="F29" s="12">
        <f>Auckland!F23</f>
        <v>8</v>
      </c>
      <c r="G29" s="12">
        <f>Auckland!G23</f>
        <v>3</v>
      </c>
      <c r="H29" s="87">
        <f>Auckland!H23</f>
        <v>11</v>
      </c>
      <c r="I29" s="23">
        <f>Auckland!I23</f>
        <v>2</v>
      </c>
      <c r="J29" s="24" t="str">
        <f>Auckland!N23</f>
        <v>AKL</v>
      </c>
      <c r="K29" s="24">
        <v>14</v>
      </c>
    </row>
    <row r="30" spans="1:11">
      <c r="A30" s="83">
        <f>Auckland!A8</f>
        <v>11</v>
      </c>
      <c r="B30" s="83" t="str">
        <f>Auckland!B8</f>
        <v>D</v>
      </c>
      <c r="C30" s="84" t="str">
        <f>Auckland!C8</f>
        <v>Ahmed</v>
      </c>
      <c r="D30" s="84" t="str">
        <f>Auckland!D8</f>
        <v>Reynolds-Hatem</v>
      </c>
      <c r="E30" s="83">
        <f>Auckland!E8</f>
        <v>12</v>
      </c>
      <c r="F30" s="83">
        <f>Auckland!F8</f>
        <v>5</v>
      </c>
      <c r="G30" s="83">
        <f>Auckland!G8</f>
        <v>4</v>
      </c>
      <c r="H30" s="83">
        <f>Auckland!H8</f>
        <v>9</v>
      </c>
      <c r="I30" s="85">
        <f>Auckland!I8</f>
        <v>8</v>
      </c>
      <c r="J30" s="86" t="str">
        <f>Auckland!N8</f>
        <v>AKL</v>
      </c>
      <c r="K30" s="86">
        <v>15</v>
      </c>
    </row>
    <row r="31" spans="1:11">
      <c r="A31" s="12">
        <f>Southern!A5</f>
        <v>3</v>
      </c>
      <c r="B31" s="12" t="str">
        <f>Southern!B5</f>
        <v>F</v>
      </c>
      <c r="C31" s="18" t="str">
        <f>Southern!C5</f>
        <v>Seamus</v>
      </c>
      <c r="D31" s="18" t="str">
        <f>Southern!D5</f>
        <v>Leahy</v>
      </c>
      <c r="E31" s="12">
        <f>Southern!E5</f>
        <v>8</v>
      </c>
      <c r="F31" s="12">
        <f>Southern!F5</f>
        <v>6</v>
      </c>
      <c r="G31" s="12">
        <f>Southern!G5</f>
        <v>2</v>
      </c>
      <c r="H31" s="87">
        <f>Southern!H5</f>
        <v>8</v>
      </c>
      <c r="I31" s="23">
        <f>Southern!I5</f>
        <v>4</v>
      </c>
      <c r="J31" s="24" t="str">
        <f>Southern!N5</f>
        <v>STH</v>
      </c>
      <c r="K31" s="24">
        <v>16</v>
      </c>
    </row>
    <row r="32" spans="1:11">
      <c r="A32" s="83">
        <f>Auckland!A10</f>
        <v>19</v>
      </c>
      <c r="B32" s="83" t="str">
        <f>Auckland!B10</f>
        <v>D</v>
      </c>
      <c r="C32" s="84" t="str">
        <f>Auckland!C10</f>
        <v xml:space="preserve">Tom </v>
      </c>
      <c r="D32" s="84" t="str">
        <f>Auckland!D10</f>
        <v>Pugh</v>
      </c>
      <c r="E32" s="83">
        <f>Auckland!E10</f>
        <v>12</v>
      </c>
      <c r="F32" s="83">
        <f>Auckland!F10</f>
        <v>5</v>
      </c>
      <c r="G32" s="83">
        <f>Auckland!G10</f>
        <v>3</v>
      </c>
      <c r="H32" s="83">
        <f>Auckland!H10</f>
        <v>8</v>
      </c>
      <c r="I32" s="85">
        <f>Auckland!I10</f>
        <v>2</v>
      </c>
      <c r="J32" s="86" t="str">
        <f>Auckland!N10</f>
        <v>AKL</v>
      </c>
      <c r="K32" s="86">
        <v>17</v>
      </c>
    </row>
    <row r="33" spans="1:11">
      <c r="A33" s="12">
        <f>Canterbury!A17</f>
        <v>18</v>
      </c>
      <c r="B33" s="12" t="str">
        <f>Canterbury!B17</f>
        <v>F</v>
      </c>
      <c r="C33" s="18" t="str">
        <f>Canterbury!C17</f>
        <v>Luke</v>
      </c>
      <c r="D33" s="18" t="str">
        <f>Canterbury!D17</f>
        <v>Hill</v>
      </c>
      <c r="E33" s="12">
        <f>Canterbury!E17</f>
        <v>12</v>
      </c>
      <c r="F33" s="12">
        <f>Canterbury!F17</f>
        <v>5</v>
      </c>
      <c r="G33" s="12">
        <f>Canterbury!G17</f>
        <v>2</v>
      </c>
      <c r="H33" s="87">
        <f>Canterbury!H17</f>
        <v>7</v>
      </c>
      <c r="I33" s="23">
        <f>Canterbury!I17</f>
        <v>2</v>
      </c>
      <c r="J33" s="24" t="str">
        <f>Canterbury!N17</f>
        <v>CANT</v>
      </c>
      <c r="K33" s="24">
        <v>18</v>
      </c>
    </row>
    <row r="34" spans="1:11">
      <c r="A34" s="83">
        <f>Southern!A18</f>
        <v>15</v>
      </c>
      <c r="B34" s="83" t="str">
        <f>Southern!B18</f>
        <v>D</v>
      </c>
      <c r="C34" s="84" t="str">
        <f>Southern!C18</f>
        <v>Hadley</v>
      </c>
      <c r="D34" s="84" t="str">
        <f>Southern!D18</f>
        <v>Johnston (A)</v>
      </c>
      <c r="E34" s="83">
        <f>Southern!E18</f>
        <v>12</v>
      </c>
      <c r="F34" s="83">
        <f>Southern!F18</f>
        <v>2</v>
      </c>
      <c r="G34" s="83">
        <f>Southern!G18</f>
        <v>5</v>
      </c>
      <c r="H34" s="83">
        <f>Southern!H18</f>
        <v>7</v>
      </c>
      <c r="I34" s="85">
        <f>Southern!I18</f>
        <v>10</v>
      </c>
      <c r="J34" s="86" t="str">
        <f>Southern!N18</f>
        <v>STH</v>
      </c>
      <c r="K34" s="86">
        <v>19</v>
      </c>
    </row>
    <row r="35" spans="1:11">
      <c r="A35" s="12">
        <f>Auckland!A17</f>
        <v>9</v>
      </c>
      <c r="B35" s="12" t="str">
        <f>Auckland!B17</f>
        <v>F</v>
      </c>
      <c r="C35" s="18" t="str">
        <f>Auckland!C17</f>
        <v>Matthew</v>
      </c>
      <c r="D35" s="18" t="str">
        <f>Auckland!D17</f>
        <v>Taylor</v>
      </c>
      <c r="E35" s="12">
        <f>Auckland!E17</f>
        <v>9</v>
      </c>
      <c r="F35" s="12">
        <f>Auckland!F17</f>
        <v>1</v>
      </c>
      <c r="G35" s="12">
        <f>Auckland!G17</f>
        <v>6</v>
      </c>
      <c r="H35" s="87">
        <f>Auckland!H17</f>
        <v>7</v>
      </c>
      <c r="I35" s="23">
        <f>Auckland!I17</f>
        <v>26</v>
      </c>
      <c r="J35" s="24" t="str">
        <f>Auckland!N17</f>
        <v>AKL</v>
      </c>
      <c r="K35" s="24">
        <v>20</v>
      </c>
    </row>
    <row r="36" spans="1:11">
      <c r="A36" s="83">
        <f>Canterbury!A11</f>
        <v>27</v>
      </c>
      <c r="B36" s="83" t="str">
        <f>Canterbury!B11</f>
        <v>D</v>
      </c>
      <c r="C36" s="84" t="str">
        <f>Canterbury!C11</f>
        <v>Alex</v>
      </c>
      <c r="D36" s="84" t="str">
        <f>Canterbury!D11</f>
        <v>Egan</v>
      </c>
      <c r="E36" s="83">
        <f>Canterbury!E11</f>
        <v>11</v>
      </c>
      <c r="F36" s="83">
        <f>Canterbury!F11</f>
        <v>6</v>
      </c>
      <c r="G36" s="83">
        <f>Canterbury!G11</f>
        <v>0</v>
      </c>
      <c r="H36" s="83">
        <f>Canterbury!H11</f>
        <v>6</v>
      </c>
      <c r="I36" s="85">
        <f>Canterbury!I11</f>
        <v>32</v>
      </c>
      <c r="J36" s="86" t="str">
        <f>Canterbury!N11</f>
        <v>CANT</v>
      </c>
      <c r="K36" s="86">
        <v>21</v>
      </c>
    </row>
    <row r="37" spans="1:11">
      <c r="A37" s="12">
        <f>Southern!A12</f>
        <v>17</v>
      </c>
      <c r="B37" s="12" t="str">
        <f>Southern!B12</f>
        <v>F</v>
      </c>
      <c r="C37" s="18" t="str">
        <f>Southern!C12</f>
        <v>Taylor</v>
      </c>
      <c r="D37" s="18" t="str">
        <f>Southern!D12</f>
        <v>Stewart</v>
      </c>
      <c r="E37" s="12">
        <f>Southern!E12</f>
        <v>12</v>
      </c>
      <c r="F37" s="12">
        <f>Southern!F12</f>
        <v>1</v>
      </c>
      <c r="G37" s="12">
        <f>Southern!G12</f>
        <v>5</v>
      </c>
      <c r="H37" s="87">
        <f>Southern!H12</f>
        <v>6</v>
      </c>
      <c r="I37" s="23">
        <f>Southern!I12</f>
        <v>10</v>
      </c>
      <c r="J37" s="24" t="str">
        <f>Southern!N12</f>
        <v>STH</v>
      </c>
      <c r="K37" s="24">
        <v>22</v>
      </c>
    </row>
    <row r="38" spans="1:11">
      <c r="A38" s="83">
        <f>Southern!A7</f>
        <v>6</v>
      </c>
      <c r="B38" s="83" t="str">
        <f>Southern!B7</f>
        <v>F</v>
      </c>
      <c r="C38" s="84" t="str">
        <f>Southern!C7</f>
        <v>Callum</v>
      </c>
      <c r="D38" s="84" t="str">
        <f>Southern!D7</f>
        <v>McLaren</v>
      </c>
      <c r="E38" s="83">
        <f>Southern!E7</f>
        <v>12</v>
      </c>
      <c r="F38" s="83">
        <f>Southern!F7</f>
        <v>1</v>
      </c>
      <c r="G38" s="83">
        <f>Southern!G7</f>
        <v>4</v>
      </c>
      <c r="H38" s="83">
        <f>Southern!H7</f>
        <v>5</v>
      </c>
      <c r="I38" s="85">
        <f>Southern!I7</f>
        <v>8</v>
      </c>
      <c r="J38" s="86" t="str">
        <f>Southern!N7</f>
        <v>STH</v>
      </c>
      <c r="K38" s="86">
        <v>23</v>
      </c>
    </row>
    <row r="39" spans="1:11">
      <c r="A39" s="12">
        <f>Auckland!A13</f>
        <v>2</v>
      </c>
      <c r="B39" s="12" t="str">
        <f>Auckland!B13</f>
        <v>F</v>
      </c>
      <c r="C39" s="18" t="str">
        <f>Auckland!C13</f>
        <v>Jimmy</v>
      </c>
      <c r="D39" s="18" t="str">
        <f>Auckland!D13</f>
        <v>Leung</v>
      </c>
      <c r="E39" s="12">
        <f>Auckland!E13</f>
        <v>12</v>
      </c>
      <c r="F39" s="12">
        <f>Auckland!F13</f>
        <v>2</v>
      </c>
      <c r="G39" s="12">
        <f>Auckland!G13</f>
        <v>2</v>
      </c>
      <c r="H39" s="87">
        <f>Auckland!H13</f>
        <v>4</v>
      </c>
      <c r="I39" s="23">
        <f>Auckland!I13</f>
        <v>0</v>
      </c>
      <c r="J39" s="24" t="str">
        <f>Auckland!N13</f>
        <v>AKL</v>
      </c>
      <c r="K39" s="24">
        <v>24</v>
      </c>
    </row>
    <row r="40" spans="1:11">
      <c r="A40" s="83">
        <f>Canterbury!A13</f>
        <v>2</v>
      </c>
      <c r="B40" s="83" t="str">
        <f>Canterbury!B13</f>
        <v>F</v>
      </c>
      <c r="C40" s="84" t="str">
        <f>Canterbury!C13</f>
        <v>Ryan</v>
      </c>
      <c r="D40" s="84" t="str">
        <f>Canterbury!D13</f>
        <v>Fraser</v>
      </c>
      <c r="E40" s="83">
        <f>Canterbury!E13</f>
        <v>12</v>
      </c>
      <c r="F40" s="83">
        <f>Canterbury!F13</f>
        <v>1</v>
      </c>
      <c r="G40" s="83">
        <f>Canterbury!G13</f>
        <v>2</v>
      </c>
      <c r="H40" s="83">
        <f>Canterbury!H13</f>
        <v>3</v>
      </c>
      <c r="I40" s="85">
        <f>Canterbury!I13</f>
        <v>0</v>
      </c>
      <c r="J40" s="86" t="str">
        <f>Canterbury!N13</f>
        <v>CANT</v>
      </c>
      <c r="K40" s="86">
        <v>25</v>
      </c>
    </row>
    <row r="41" spans="1:11">
      <c r="A41" s="12">
        <f>Auckland!A4</f>
        <v>4</v>
      </c>
      <c r="B41" s="12" t="str">
        <f>Auckland!B4</f>
        <v>D</v>
      </c>
      <c r="C41" s="18" t="str">
        <f>Auckland!C4</f>
        <v>Sascha</v>
      </c>
      <c r="D41" s="18" t="str">
        <f>Auckland!D4</f>
        <v>Appel</v>
      </c>
      <c r="E41" s="12">
        <f>Auckland!E4</f>
        <v>12</v>
      </c>
      <c r="F41" s="12">
        <f>Auckland!F4</f>
        <v>1</v>
      </c>
      <c r="G41" s="12">
        <f>Auckland!G4</f>
        <v>2</v>
      </c>
      <c r="H41" s="87">
        <f>Auckland!H4</f>
        <v>3</v>
      </c>
      <c r="I41" s="23">
        <f>Auckland!I4</f>
        <v>4</v>
      </c>
      <c r="J41" s="24" t="str">
        <f>Auckland!N4</f>
        <v>AKL</v>
      </c>
      <c r="K41" s="24">
        <v>26</v>
      </c>
    </row>
    <row r="42" spans="1:11">
      <c r="A42" s="83">
        <f>Auckland!A5</f>
        <v>5</v>
      </c>
      <c r="B42" s="83" t="str">
        <f>Auckland!B5</f>
        <v>D</v>
      </c>
      <c r="C42" s="84" t="str">
        <f>Auckland!C5</f>
        <v>Alyssa</v>
      </c>
      <c r="D42" s="84" t="str">
        <f>Auckland!D5</f>
        <v>Suzuki</v>
      </c>
      <c r="E42" s="83">
        <f>Auckland!E5</f>
        <v>12</v>
      </c>
      <c r="F42" s="83">
        <f>Auckland!F5</f>
        <v>0</v>
      </c>
      <c r="G42" s="83">
        <f>Auckland!G5</f>
        <v>3</v>
      </c>
      <c r="H42" s="83">
        <f>Auckland!H5</f>
        <v>3</v>
      </c>
      <c r="I42" s="85">
        <f>Auckland!I5</f>
        <v>2</v>
      </c>
      <c r="J42" s="86" t="str">
        <f>Auckland!N5</f>
        <v>AKL</v>
      </c>
      <c r="K42" s="86">
        <v>27</v>
      </c>
    </row>
    <row r="43" spans="1:11">
      <c r="A43" s="12">
        <f>Canterbury!A8</f>
        <v>17</v>
      </c>
      <c r="B43" s="12" t="str">
        <f>Canterbury!B8</f>
        <v>D</v>
      </c>
      <c r="C43" s="18" t="str">
        <f>Canterbury!C8</f>
        <v>Moses</v>
      </c>
      <c r="D43" s="18" t="str">
        <f>Canterbury!D8</f>
        <v>Bygate-Smith</v>
      </c>
      <c r="E43" s="12">
        <f>Canterbury!E8</f>
        <v>12</v>
      </c>
      <c r="F43" s="12">
        <f>Canterbury!F8</f>
        <v>1</v>
      </c>
      <c r="G43" s="12">
        <f>Canterbury!G8</f>
        <v>1</v>
      </c>
      <c r="H43" s="87">
        <f>Canterbury!H8</f>
        <v>2</v>
      </c>
      <c r="I43" s="23">
        <f>Canterbury!I8</f>
        <v>12</v>
      </c>
      <c r="J43" s="24" t="str">
        <f>Canterbury!N8</f>
        <v>CANT</v>
      </c>
      <c r="K43" s="24">
        <v>28</v>
      </c>
    </row>
    <row r="44" spans="1:11">
      <c r="A44" s="83">
        <f>Southern!A8</f>
        <v>7</v>
      </c>
      <c r="B44" s="83" t="str">
        <f>Southern!B8</f>
        <v>F</v>
      </c>
      <c r="C44" s="84" t="str">
        <f>Southern!C8</f>
        <v>Jakob</v>
      </c>
      <c r="D44" s="84" t="str">
        <f>Southern!D8</f>
        <v>Newell</v>
      </c>
      <c r="E44" s="83">
        <f>Southern!E8</f>
        <v>12</v>
      </c>
      <c r="F44" s="83">
        <f>Southern!F8</f>
        <v>1</v>
      </c>
      <c r="G44" s="83">
        <f>Southern!G8</f>
        <v>1</v>
      </c>
      <c r="H44" s="83">
        <f>Southern!H8</f>
        <v>2</v>
      </c>
      <c r="I44" s="85">
        <f>Southern!I8</f>
        <v>0</v>
      </c>
      <c r="J44" s="86" t="str">
        <f>Southern!N8</f>
        <v>STH</v>
      </c>
      <c r="K44" s="86">
        <v>29</v>
      </c>
    </row>
    <row r="45" spans="1:11">
      <c r="A45" s="12">
        <f>Canterbury!A14</f>
        <v>5</v>
      </c>
      <c r="B45" s="12" t="str">
        <f>Canterbury!B14</f>
        <v>F</v>
      </c>
      <c r="C45" s="18" t="str">
        <f>Canterbury!C14</f>
        <v>Matheson</v>
      </c>
      <c r="D45" s="18" t="str">
        <f>Canterbury!D14</f>
        <v>Graham</v>
      </c>
      <c r="E45" s="12">
        <f>Canterbury!E14</f>
        <v>12</v>
      </c>
      <c r="F45" s="12">
        <f>Canterbury!F14</f>
        <v>0</v>
      </c>
      <c r="G45" s="12">
        <f>Canterbury!G14</f>
        <v>2</v>
      </c>
      <c r="H45" s="87">
        <f>Canterbury!H14</f>
        <v>2</v>
      </c>
      <c r="I45" s="23">
        <f>Canterbury!I14</f>
        <v>2</v>
      </c>
      <c r="J45" s="24" t="str">
        <f>Canterbury!N14</f>
        <v>CANT</v>
      </c>
      <c r="K45" s="24">
        <v>30</v>
      </c>
    </row>
    <row r="46" spans="1:11">
      <c r="A46" s="83">
        <f>Auckland!A20</f>
        <v>15</v>
      </c>
      <c r="B46" s="83" t="str">
        <f>Auckland!B20</f>
        <v>F</v>
      </c>
      <c r="C46" s="84" t="str">
        <f>Auckland!C20</f>
        <v>Oliver</v>
      </c>
      <c r="D46" s="84" t="str">
        <f>Auckland!D20</f>
        <v>Curtis</v>
      </c>
      <c r="E46" s="83">
        <f>Auckland!E20</f>
        <v>12</v>
      </c>
      <c r="F46" s="83">
        <f>Auckland!F20</f>
        <v>0</v>
      </c>
      <c r="G46" s="83">
        <f>Auckland!G20</f>
        <v>2</v>
      </c>
      <c r="H46" s="83">
        <f>Auckland!H20</f>
        <v>2</v>
      </c>
      <c r="I46" s="85">
        <f>Auckland!I20</f>
        <v>0</v>
      </c>
      <c r="J46" s="86" t="str">
        <f>Auckland!N20</f>
        <v>AKL</v>
      </c>
      <c r="K46" s="86">
        <v>31</v>
      </c>
    </row>
    <row r="47" spans="1:11">
      <c r="A47" s="12">
        <f>Canterbury!A9</f>
        <v>23</v>
      </c>
      <c r="B47" s="12" t="str">
        <f>Canterbury!B9</f>
        <v>D</v>
      </c>
      <c r="C47" s="18" t="str">
        <f>Canterbury!C9</f>
        <v>Connor</v>
      </c>
      <c r="D47" s="18" t="str">
        <f>Canterbury!D9</f>
        <v>Henderson</v>
      </c>
      <c r="E47" s="12">
        <f>Canterbury!E9</f>
        <v>10</v>
      </c>
      <c r="F47" s="12">
        <f>Canterbury!F9</f>
        <v>0</v>
      </c>
      <c r="G47" s="12">
        <f>Canterbury!G9</f>
        <v>2</v>
      </c>
      <c r="H47" s="87">
        <f>Canterbury!H9</f>
        <v>2</v>
      </c>
      <c r="I47" s="23">
        <f>Canterbury!I9</f>
        <v>8</v>
      </c>
      <c r="J47" s="24" t="str">
        <f>Canterbury!N9</f>
        <v>CANT</v>
      </c>
      <c r="K47" s="24">
        <v>32</v>
      </c>
    </row>
    <row r="48" spans="1:11">
      <c r="A48" s="83">
        <f>Southern!A13</f>
        <v>18</v>
      </c>
      <c r="B48" s="83" t="str">
        <f>Southern!B13</f>
        <v>F</v>
      </c>
      <c r="C48" s="84" t="str">
        <f>Southern!C13</f>
        <v>Ben</v>
      </c>
      <c r="D48" s="84" t="str">
        <f>Southern!D13</f>
        <v>Miller</v>
      </c>
      <c r="E48" s="83">
        <f>Southern!E13</f>
        <v>12</v>
      </c>
      <c r="F48" s="83">
        <f>Southern!F13</f>
        <v>1</v>
      </c>
      <c r="G48" s="83">
        <f>Southern!G13</f>
        <v>0</v>
      </c>
      <c r="H48" s="83">
        <f>Southern!H13</f>
        <v>1</v>
      </c>
      <c r="I48" s="85">
        <f>Southern!I13</f>
        <v>0</v>
      </c>
      <c r="J48" s="86" t="str">
        <f>Southern!N13</f>
        <v>STH</v>
      </c>
      <c r="K48" s="86">
        <v>33</v>
      </c>
    </row>
    <row r="49" spans="1:11">
      <c r="A49" s="12">
        <f>Southern!A19</f>
        <v>16</v>
      </c>
      <c r="B49" s="12" t="str">
        <f>Southern!B19</f>
        <v>D</v>
      </c>
      <c r="C49" s="18" t="str">
        <f>Southern!C19</f>
        <v>Nicola</v>
      </c>
      <c r="D49" s="18" t="str">
        <f>Southern!D19</f>
        <v>Henare</v>
      </c>
      <c r="E49" s="12">
        <f>Southern!E19</f>
        <v>8</v>
      </c>
      <c r="F49" s="12">
        <f>Southern!F19</f>
        <v>1</v>
      </c>
      <c r="G49" s="12">
        <f>Southern!G19</f>
        <v>0</v>
      </c>
      <c r="H49" s="87">
        <f>Southern!H19</f>
        <v>1</v>
      </c>
      <c r="I49" s="23">
        <f>Southern!I19</f>
        <v>0</v>
      </c>
      <c r="J49" s="24" t="str">
        <f>Southern!N19</f>
        <v>STH</v>
      </c>
      <c r="K49" s="24">
        <v>34</v>
      </c>
    </row>
    <row r="50" spans="1:11">
      <c r="A50" s="83">
        <f>Canterbury!A15</f>
        <v>11</v>
      </c>
      <c r="B50" s="83" t="str">
        <f>Canterbury!B15</f>
        <v>F</v>
      </c>
      <c r="C50" s="84" t="str">
        <f>Canterbury!C15</f>
        <v>Josh</v>
      </c>
      <c r="D50" s="84" t="str">
        <f>Canterbury!D15</f>
        <v>Tenebaum</v>
      </c>
      <c r="E50" s="83">
        <f>Canterbury!E15</f>
        <v>12</v>
      </c>
      <c r="F50" s="83">
        <f>Canterbury!F15</f>
        <v>0</v>
      </c>
      <c r="G50" s="83">
        <f>Canterbury!G15</f>
        <v>1</v>
      </c>
      <c r="H50" s="83">
        <f>Canterbury!H15</f>
        <v>1</v>
      </c>
      <c r="I50" s="85">
        <f>Canterbury!I15</f>
        <v>2</v>
      </c>
      <c r="J50" s="86" t="str">
        <f>Canterbury!N15</f>
        <v>CANT</v>
      </c>
      <c r="K50" s="86">
        <v>35</v>
      </c>
    </row>
    <row r="51" spans="1:11">
      <c r="A51" s="12">
        <f>Canterbury!A7</f>
        <v>16</v>
      </c>
      <c r="B51" s="12" t="str">
        <f>Canterbury!B7</f>
        <v>D</v>
      </c>
      <c r="C51" s="18" t="str">
        <f>Canterbury!C7</f>
        <v>Karl</v>
      </c>
      <c r="D51" s="18" t="str">
        <f>Canterbury!D7</f>
        <v>van Slooten</v>
      </c>
      <c r="E51" s="12">
        <f>Canterbury!E7</f>
        <v>12</v>
      </c>
      <c r="F51" s="12">
        <f>Canterbury!F7</f>
        <v>0</v>
      </c>
      <c r="G51" s="12">
        <f>Canterbury!G7</f>
        <v>1</v>
      </c>
      <c r="H51" s="87">
        <f>Canterbury!H7</f>
        <v>1</v>
      </c>
      <c r="I51" s="23">
        <f>Canterbury!I7</f>
        <v>0</v>
      </c>
      <c r="J51" s="24" t="str">
        <f>Canterbury!N7</f>
        <v>CANT</v>
      </c>
      <c r="K51" s="24">
        <v>36</v>
      </c>
    </row>
    <row r="52" spans="1:11">
      <c r="A52" s="83">
        <f>Canterbury!A4</f>
        <v>4</v>
      </c>
      <c r="B52" s="83" t="str">
        <f>Canterbury!B4</f>
        <v>D</v>
      </c>
      <c r="C52" s="84" t="str">
        <f>Canterbury!C4</f>
        <v xml:space="preserve">Mason </v>
      </c>
      <c r="D52" s="84" t="str">
        <f>Canterbury!D4</f>
        <v>Rees</v>
      </c>
      <c r="E52" s="83">
        <f>Canterbury!E4</f>
        <v>12</v>
      </c>
      <c r="F52" s="83">
        <f>Canterbury!F4</f>
        <v>0</v>
      </c>
      <c r="G52" s="83">
        <f>Canterbury!G4</f>
        <v>1</v>
      </c>
      <c r="H52" s="83">
        <f>Canterbury!H4</f>
        <v>1</v>
      </c>
      <c r="I52" s="85">
        <f>Canterbury!I4</f>
        <v>0</v>
      </c>
      <c r="J52" s="86" t="str">
        <f>Canterbury!N4</f>
        <v>CANT</v>
      </c>
      <c r="K52" s="86">
        <v>37</v>
      </c>
    </row>
    <row r="53" spans="1:11">
      <c r="A53" s="12">
        <f>Auckland!A9</f>
        <v>14</v>
      </c>
      <c r="B53" s="12" t="str">
        <f>Auckland!B9</f>
        <v>D</v>
      </c>
      <c r="C53" s="18" t="str">
        <f>Auckland!C9</f>
        <v>Micah</v>
      </c>
      <c r="D53" s="18" t="str">
        <f>Auckland!D9</f>
        <v>Staden-Lea</v>
      </c>
      <c r="E53" s="12">
        <f>Auckland!E9</f>
        <v>12</v>
      </c>
      <c r="F53" s="12">
        <f>Auckland!F9</f>
        <v>0</v>
      </c>
      <c r="G53" s="12">
        <f>Auckland!G9</f>
        <v>1</v>
      </c>
      <c r="H53" s="87">
        <f>Auckland!H9</f>
        <v>1</v>
      </c>
      <c r="I53" s="23">
        <f>Auckland!I9</f>
        <v>0</v>
      </c>
      <c r="J53" s="24" t="str">
        <f>Auckland!N9</f>
        <v>AKL</v>
      </c>
      <c r="K53" s="24">
        <v>38</v>
      </c>
    </row>
    <row r="54" spans="1:11">
      <c r="A54" s="83">
        <f>Auckland!A12</f>
        <v>24</v>
      </c>
      <c r="B54" s="83" t="str">
        <f>Auckland!B12</f>
        <v>D</v>
      </c>
      <c r="C54" s="84" t="str">
        <f>Auckland!C12</f>
        <v>Christian</v>
      </c>
      <c r="D54" s="84" t="str">
        <f>Auckland!D12</f>
        <v>Regan</v>
      </c>
      <c r="E54" s="83">
        <f>Auckland!E12</f>
        <v>8</v>
      </c>
      <c r="F54" s="83">
        <f>Auckland!F12</f>
        <v>0</v>
      </c>
      <c r="G54" s="83">
        <f>Auckland!G12</f>
        <v>1</v>
      </c>
      <c r="H54" s="83">
        <f>Auckland!H12</f>
        <v>1</v>
      </c>
      <c r="I54" s="85">
        <f>Auckland!I12</f>
        <v>0</v>
      </c>
      <c r="J54" s="86" t="str">
        <f>Auckland!N12</f>
        <v>AKL</v>
      </c>
      <c r="K54" s="86">
        <v>39</v>
      </c>
    </row>
    <row r="55" spans="1:11">
      <c r="A55" s="12">
        <f>Auckland!A24</f>
        <v>23</v>
      </c>
      <c r="B55" s="12" t="str">
        <f>Auckland!B24</f>
        <v>F</v>
      </c>
      <c r="C55" s="18" t="str">
        <f>Auckland!C24</f>
        <v>Alexander</v>
      </c>
      <c r="D55" s="18" t="str">
        <f>Auckland!D24</f>
        <v>Regan</v>
      </c>
      <c r="E55" s="12">
        <f>Auckland!E24</f>
        <v>8</v>
      </c>
      <c r="F55" s="12">
        <f>Auckland!F24</f>
        <v>0</v>
      </c>
      <c r="G55" s="12">
        <f>Auckland!G24</f>
        <v>1</v>
      </c>
      <c r="H55" s="87">
        <f>Auckland!H24</f>
        <v>1</v>
      </c>
      <c r="I55" s="23">
        <f>Auckland!I24</f>
        <v>0</v>
      </c>
      <c r="J55" s="24" t="str">
        <f>Auckland!N24</f>
        <v>AKL</v>
      </c>
      <c r="K55" s="24">
        <v>40</v>
      </c>
    </row>
    <row r="56" spans="1:11">
      <c r="A56" s="83">
        <f>Canterbury!A6</f>
        <v>12</v>
      </c>
      <c r="B56" s="83" t="str">
        <f>Canterbury!B6</f>
        <v>D</v>
      </c>
      <c r="C56" s="84" t="str">
        <f>Canterbury!C6</f>
        <v>George</v>
      </c>
      <c r="D56" s="84" t="str">
        <f>Canterbury!D6</f>
        <v>Hopkins</v>
      </c>
      <c r="E56" s="83">
        <f>Canterbury!E6</f>
        <v>6</v>
      </c>
      <c r="F56" s="83">
        <f>Canterbury!F6</f>
        <v>0</v>
      </c>
      <c r="G56" s="83">
        <f>Canterbury!G6</f>
        <v>1</v>
      </c>
      <c r="H56" s="83">
        <f>Canterbury!H6</f>
        <v>1</v>
      </c>
      <c r="I56" s="85">
        <f>Canterbury!I6</f>
        <v>2</v>
      </c>
      <c r="J56" s="86" t="str">
        <f>Canterbury!N6</f>
        <v>CANT</v>
      </c>
      <c r="K56" s="86">
        <v>41</v>
      </c>
    </row>
    <row r="57" spans="1:11">
      <c r="A57" s="12">
        <f>Southern!A17</f>
        <v>12</v>
      </c>
      <c r="B57" s="12" t="str">
        <f>Southern!B17</f>
        <v>D</v>
      </c>
      <c r="C57" s="18" t="str">
        <f>Southern!C17</f>
        <v>Kelepi</v>
      </c>
      <c r="D57" s="18" t="str">
        <f>Southern!D17</f>
        <v>Tapealava</v>
      </c>
      <c r="E57" s="12">
        <f>Southern!E17</f>
        <v>12</v>
      </c>
      <c r="F57" s="12">
        <f>Southern!F17</f>
        <v>0</v>
      </c>
      <c r="G57" s="12">
        <f>Southern!G17</f>
        <v>0</v>
      </c>
      <c r="H57" s="87">
        <f>Southern!H17</f>
        <v>0</v>
      </c>
      <c r="I57" s="23">
        <f>Southern!I17</f>
        <v>0</v>
      </c>
      <c r="J57" s="24" t="str">
        <f>Southern!N17</f>
        <v>STH</v>
      </c>
      <c r="K57" s="24">
        <v>42</v>
      </c>
    </row>
    <row r="58" spans="1:11">
      <c r="A58" s="83">
        <f>Southern!A20</f>
        <v>19</v>
      </c>
      <c r="B58" s="83" t="str">
        <f>Southern!B20</f>
        <v>D</v>
      </c>
      <c r="C58" s="84" t="str">
        <f>Southern!C20</f>
        <v>Rebecca</v>
      </c>
      <c r="D58" s="84" t="str">
        <f>Southern!D20</f>
        <v>Lilly</v>
      </c>
      <c r="E58" s="83">
        <f>Southern!E20</f>
        <v>12</v>
      </c>
      <c r="F58" s="83">
        <f>Southern!F20</f>
        <v>0</v>
      </c>
      <c r="G58" s="83">
        <f>Southern!G20</f>
        <v>0</v>
      </c>
      <c r="H58" s="83">
        <f>Southern!H20</f>
        <v>0</v>
      </c>
      <c r="I58" s="85">
        <f>Southern!I20</f>
        <v>2</v>
      </c>
      <c r="J58" s="86" t="str">
        <f>Southern!N20</f>
        <v>STH</v>
      </c>
      <c r="K58" s="86">
        <v>43</v>
      </c>
    </row>
    <row r="59" spans="1:11">
      <c r="A59" s="12">
        <f>Auckland!A6</f>
        <v>8</v>
      </c>
      <c r="B59" s="12" t="str">
        <f>Auckland!B6</f>
        <v>D</v>
      </c>
      <c r="C59" s="18" t="str">
        <f>Auckland!C6</f>
        <v>Mitchell</v>
      </c>
      <c r="D59" s="18" t="str">
        <f>Auckland!D6</f>
        <v>English</v>
      </c>
      <c r="E59" s="12">
        <f>Auckland!E6</f>
        <v>12</v>
      </c>
      <c r="F59" s="12">
        <f>Auckland!F6</f>
        <v>0</v>
      </c>
      <c r="G59" s="12">
        <f>Auckland!G6</f>
        <v>0</v>
      </c>
      <c r="H59" s="87">
        <f>Auckland!H6</f>
        <v>0</v>
      </c>
      <c r="I59" s="23">
        <f>Auckland!I6</f>
        <v>4</v>
      </c>
      <c r="J59" s="24" t="str">
        <f>Auckland!N6</f>
        <v>AKL</v>
      </c>
      <c r="K59" s="24">
        <v>44</v>
      </c>
    </row>
    <row r="60" spans="1:11">
      <c r="A60" s="83">
        <f>Canterbury!A23</f>
        <v>10</v>
      </c>
      <c r="B60" s="83" t="str">
        <f>Canterbury!B23</f>
        <v>F</v>
      </c>
      <c r="C60" s="84" t="str">
        <f>Canterbury!C23</f>
        <v>Llewellyn</v>
      </c>
      <c r="D60" s="84" t="str">
        <f>Canterbury!D23</f>
        <v>Heale</v>
      </c>
      <c r="E60" s="83">
        <f>Canterbury!E23</f>
        <v>10</v>
      </c>
      <c r="F60" s="83">
        <f>Canterbury!F23</f>
        <v>0</v>
      </c>
      <c r="G60" s="83">
        <f>Canterbury!G23</f>
        <v>0</v>
      </c>
      <c r="H60" s="83">
        <f>Canterbury!H23</f>
        <v>0</v>
      </c>
      <c r="I60" s="85">
        <f>Canterbury!I23</f>
        <v>0</v>
      </c>
      <c r="J60" s="86" t="str">
        <f>Canterbury!N23</f>
        <v>CANT</v>
      </c>
      <c r="K60" s="86">
        <v>45</v>
      </c>
    </row>
    <row r="61" spans="1:11">
      <c r="A61" s="12">
        <f>Canterbury!A5</f>
        <v>8</v>
      </c>
      <c r="B61" s="12" t="str">
        <f>Canterbury!B5</f>
        <v>D</v>
      </c>
      <c r="C61" s="18" t="str">
        <f>Canterbury!C5</f>
        <v>Eliza</v>
      </c>
      <c r="D61" s="18" t="str">
        <f>Canterbury!D5</f>
        <v>Thompson</v>
      </c>
      <c r="E61" s="12">
        <f>Canterbury!E5</f>
        <v>10</v>
      </c>
      <c r="F61" s="12">
        <f>Canterbury!F5</f>
        <v>0</v>
      </c>
      <c r="G61" s="12">
        <f>Canterbury!G5</f>
        <v>0</v>
      </c>
      <c r="H61" s="87">
        <f>Canterbury!H5</f>
        <v>0</v>
      </c>
      <c r="I61" s="23">
        <f>Canterbury!I5</f>
        <v>0</v>
      </c>
      <c r="J61" s="24" t="str">
        <f>Canterbury!N5</f>
        <v>CANT</v>
      </c>
      <c r="K61" s="24">
        <v>46</v>
      </c>
    </row>
    <row r="62" spans="1:11">
      <c r="A62" s="83">
        <f>Southern!A4</f>
        <v>2</v>
      </c>
      <c r="B62" s="83" t="str">
        <f>Southern!B4</f>
        <v>F</v>
      </c>
      <c r="C62" s="84" t="str">
        <f>Southern!C4</f>
        <v>Padrig</v>
      </c>
      <c r="D62" s="84" t="str">
        <f>Southern!D4</f>
        <v>MacKenzie</v>
      </c>
      <c r="E62" s="83">
        <f>Southern!E4</f>
        <v>10</v>
      </c>
      <c r="F62" s="83">
        <f>Southern!F4</f>
        <v>0</v>
      </c>
      <c r="G62" s="83">
        <f>Southern!G4</f>
        <v>0</v>
      </c>
      <c r="H62" s="83">
        <f>Southern!H4</f>
        <v>0</v>
      </c>
      <c r="I62" s="85">
        <f>Southern!I4</f>
        <v>0</v>
      </c>
      <c r="J62" s="86" t="str">
        <f>Southern!N4</f>
        <v>STH</v>
      </c>
      <c r="K62" s="86">
        <v>47</v>
      </c>
    </row>
    <row r="63" spans="1:11">
      <c r="A63" s="12">
        <f>Canterbury!A10</f>
        <v>24</v>
      </c>
      <c r="B63" s="12" t="str">
        <f>Canterbury!B10</f>
        <v>D</v>
      </c>
      <c r="C63" s="18" t="str">
        <f>Canterbury!C10</f>
        <v>Joshua</v>
      </c>
      <c r="D63" s="18" t="str">
        <f>Canterbury!D10</f>
        <v>Kilpelainen</v>
      </c>
      <c r="E63" s="12">
        <f>Canterbury!E10</f>
        <v>9</v>
      </c>
      <c r="F63" s="12">
        <f>Canterbury!F10</f>
        <v>0</v>
      </c>
      <c r="G63" s="12">
        <f>Canterbury!G10</f>
        <v>0</v>
      </c>
      <c r="H63" s="87">
        <f>Canterbury!H10</f>
        <v>0</v>
      </c>
      <c r="I63" s="23">
        <f>Canterbury!I10</f>
        <v>12</v>
      </c>
      <c r="J63" s="24" t="str">
        <f>Canterbury!N10</f>
        <v>CANT</v>
      </c>
      <c r="K63" s="24">
        <v>48</v>
      </c>
    </row>
    <row r="64" spans="1:11">
      <c r="A64" s="83">
        <f>Canterbury!A22</f>
        <v>15</v>
      </c>
      <c r="B64" s="83" t="str">
        <f>Canterbury!B22</f>
        <v>F</v>
      </c>
      <c r="C64" s="84" t="str">
        <f>Canterbury!C22</f>
        <v>Ethan</v>
      </c>
      <c r="D64" s="84" t="str">
        <f>Canterbury!D22</f>
        <v>Du Plooy</v>
      </c>
      <c r="E64" s="83">
        <f>Canterbury!E22</f>
        <v>8</v>
      </c>
      <c r="F64" s="83">
        <f>Canterbury!F22</f>
        <v>0</v>
      </c>
      <c r="G64" s="83">
        <f>Canterbury!G22</f>
        <v>0</v>
      </c>
      <c r="H64" s="83">
        <f>Canterbury!H22</f>
        <v>0</v>
      </c>
      <c r="I64" s="85">
        <f>Canterbury!I22</f>
        <v>0</v>
      </c>
      <c r="J64" s="86" t="str">
        <f>Canterbury!N22</f>
        <v>CANT</v>
      </c>
      <c r="K64" s="86">
        <v>49</v>
      </c>
    </row>
    <row r="65" spans="1:11">
      <c r="A65" s="12">
        <f>Southern!A6</f>
        <v>5</v>
      </c>
      <c r="B65" s="12" t="str">
        <f>Southern!B6</f>
        <v>F</v>
      </c>
      <c r="C65" s="18" t="str">
        <f>Southern!C6</f>
        <v>Sam</v>
      </c>
      <c r="D65" s="18" t="str">
        <f>Southern!D6</f>
        <v>Day</v>
      </c>
      <c r="E65" s="12">
        <f>Southern!E6</f>
        <v>6</v>
      </c>
      <c r="F65" s="12">
        <f>Southern!F6</f>
        <v>0</v>
      </c>
      <c r="G65" s="12">
        <f>Southern!G6</f>
        <v>0</v>
      </c>
      <c r="H65" s="87">
        <f>Southern!H6</f>
        <v>0</v>
      </c>
      <c r="I65" s="23">
        <f>Southern!I6</f>
        <v>0</v>
      </c>
      <c r="J65" s="24" t="str">
        <f>Southern!N6</f>
        <v>STH</v>
      </c>
      <c r="K65" s="24">
        <v>50</v>
      </c>
    </row>
    <row r="66" spans="1:11">
      <c r="A66" s="83">
        <f>Auckland!A19</f>
        <v>13</v>
      </c>
      <c r="B66" s="83" t="str">
        <f>Auckland!B19</f>
        <v>F</v>
      </c>
      <c r="C66" s="84" t="str">
        <f>Auckland!C19</f>
        <v>Oliver</v>
      </c>
      <c r="D66" s="84" t="str">
        <f>Auckland!D19</f>
        <v>Wright</v>
      </c>
      <c r="E66" s="83">
        <f>Auckland!E19</f>
        <v>6</v>
      </c>
      <c r="F66" s="83">
        <f>Auckland!F19</f>
        <v>0</v>
      </c>
      <c r="G66" s="83">
        <f>Auckland!G19</f>
        <v>0</v>
      </c>
      <c r="H66" s="83">
        <f>Auckland!H19</f>
        <v>0</v>
      </c>
      <c r="I66" s="85">
        <f>Auckland!I19</f>
        <v>0</v>
      </c>
      <c r="J66" s="86" t="str">
        <f>Auckland!N19</f>
        <v>AKL</v>
      </c>
      <c r="K66" s="86">
        <v>51</v>
      </c>
    </row>
    <row r="67" spans="1:11">
      <c r="A67" s="12">
        <f>Auckland!A22</f>
        <v>17</v>
      </c>
      <c r="B67" s="12" t="str">
        <f>Auckland!B22</f>
        <v>F</v>
      </c>
      <c r="C67" s="18" t="str">
        <f>Auckland!C22</f>
        <v>Ciaran</v>
      </c>
      <c r="D67" s="18" t="str">
        <f>Auckland!D22</f>
        <v>Stuart</v>
      </c>
      <c r="E67" s="12">
        <f>Auckland!E22</f>
        <v>6</v>
      </c>
      <c r="F67" s="12">
        <f>Auckland!F22</f>
        <v>0</v>
      </c>
      <c r="G67" s="12">
        <f>Auckland!G22</f>
        <v>0</v>
      </c>
      <c r="H67" s="87">
        <f>Auckland!H22</f>
        <v>0</v>
      </c>
      <c r="I67" s="23">
        <f>Auckland!I22</f>
        <v>0</v>
      </c>
      <c r="J67" s="24" t="str">
        <f>Auckland!N22</f>
        <v>AKL</v>
      </c>
      <c r="K67" s="24">
        <v>52</v>
      </c>
    </row>
    <row r="68" spans="1:11">
      <c r="A68" s="83">
        <f>Southern!A24</f>
        <v>4</v>
      </c>
      <c r="B68" s="83">
        <f>Southern!B24</f>
        <v>0</v>
      </c>
      <c r="C68" s="84" t="str">
        <f>Southern!C24</f>
        <v>A</v>
      </c>
      <c r="D68" s="84" t="str">
        <f>Southern!D24</f>
        <v>Dodds</v>
      </c>
      <c r="E68" s="83">
        <f>Southern!E24</f>
        <v>3</v>
      </c>
      <c r="F68" s="83">
        <f>Southern!F24</f>
        <v>0</v>
      </c>
      <c r="G68" s="83">
        <f>Southern!G24</f>
        <v>0</v>
      </c>
      <c r="H68" s="83">
        <f>Southern!H24</f>
        <v>0</v>
      </c>
      <c r="I68" s="85">
        <f>Southern!I24</f>
        <v>0</v>
      </c>
      <c r="J68" s="86" t="str">
        <f>Southern!N24</f>
        <v>STH</v>
      </c>
      <c r="K68" s="86">
        <v>53</v>
      </c>
    </row>
    <row r="69" spans="1:11">
      <c r="A69" s="12">
        <f>Canterbury!A20</f>
        <v>26</v>
      </c>
      <c r="B69" s="12" t="str">
        <f>Canterbury!B20</f>
        <v>F</v>
      </c>
      <c r="C69" s="18" t="str">
        <f>Canterbury!C20</f>
        <v>Patrick</v>
      </c>
      <c r="D69" s="18" t="str">
        <f>Canterbury!D20</f>
        <v>Sargisson</v>
      </c>
      <c r="E69" s="12">
        <f>Canterbury!E20</f>
        <v>2</v>
      </c>
      <c r="F69" s="12">
        <f>Canterbury!F20</f>
        <v>0</v>
      </c>
      <c r="G69" s="12">
        <f>Canterbury!G20</f>
        <v>0</v>
      </c>
      <c r="H69" s="87">
        <f>Canterbury!H20</f>
        <v>0</v>
      </c>
      <c r="I69" s="23">
        <f>Canterbury!I20</f>
        <v>0</v>
      </c>
      <c r="J69" s="24" t="str">
        <f>Canterbury!N20</f>
        <v>CANT</v>
      </c>
      <c r="K69" s="24">
        <v>54</v>
      </c>
    </row>
    <row r="70" spans="1:11">
      <c r="A70" s="83">
        <f>Canterbury!A12</f>
        <v>31</v>
      </c>
      <c r="B70" s="83" t="str">
        <f>Canterbury!B12</f>
        <v>D</v>
      </c>
      <c r="C70" s="84" t="str">
        <f>Canterbury!C12</f>
        <v>Amelia Rose</v>
      </c>
      <c r="D70" s="84" t="str">
        <f>Canterbury!D12</f>
        <v>Graham</v>
      </c>
      <c r="E70" s="83">
        <f>Canterbury!E12</f>
        <v>2</v>
      </c>
      <c r="F70" s="83">
        <f>Canterbury!F12</f>
        <v>0</v>
      </c>
      <c r="G70" s="83">
        <f>Canterbury!G12</f>
        <v>0</v>
      </c>
      <c r="H70" s="83">
        <f>Canterbury!H12</f>
        <v>0</v>
      </c>
      <c r="I70" s="85">
        <f>Canterbury!I12</f>
        <v>0</v>
      </c>
      <c r="J70" s="86" t="str">
        <f>Canterbury!N12</f>
        <v>CANT</v>
      </c>
      <c r="K70" s="86">
        <v>55</v>
      </c>
    </row>
    <row r="71" spans="1:11">
      <c r="A71" s="12">
        <f>Canterbury!A19</f>
        <v>21</v>
      </c>
      <c r="B71" s="12" t="str">
        <f>Canterbury!B19</f>
        <v>F</v>
      </c>
      <c r="C71" s="18" t="str">
        <f>Canterbury!C19</f>
        <v>Paddy</v>
      </c>
      <c r="D71" s="18" t="str">
        <f>Canterbury!D19</f>
        <v>Riley</v>
      </c>
      <c r="E71" s="12">
        <f>Canterbury!E19</f>
        <v>1</v>
      </c>
      <c r="F71" s="12">
        <f>Canterbury!F19</f>
        <v>0</v>
      </c>
      <c r="G71" s="12">
        <f>Canterbury!G19</f>
        <v>0</v>
      </c>
      <c r="H71" s="87">
        <f>Canterbury!H19</f>
        <v>0</v>
      </c>
      <c r="I71" s="23">
        <f>Canterbury!I19</f>
        <v>0</v>
      </c>
      <c r="J71" s="24" t="str">
        <f>Canterbury!N19</f>
        <v>CANT</v>
      </c>
      <c r="K71" s="24">
        <v>56</v>
      </c>
    </row>
    <row r="72" spans="1:11">
      <c r="A72" s="83">
        <f>Southern!A14</f>
        <v>29</v>
      </c>
      <c r="B72" s="83" t="str">
        <f>Southern!B14</f>
        <v>F</v>
      </c>
      <c r="C72" s="84" t="str">
        <f>Southern!C14</f>
        <v>Charlie</v>
      </c>
      <c r="D72" s="84" t="str">
        <f>Southern!D14</f>
        <v>Lilly</v>
      </c>
      <c r="E72" s="83">
        <f>Southern!E14</f>
        <v>0</v>
      </c>
      <c r="F72" s="83">
        <f>Southern!F14</f>
        <v>0</v>
      </c>
      <c r="G72" s="83">
        <f>Southern!G14</f>
        <v>0</v>
      </c>
      <c r="H72" s="83">
        <f>Southern!H14</f>
        <v>0</v>
      </c>
      <c r="I72" s="85">
        <f>Southern!I14</f>
        <v>0</v>
      </c>
      <c r="J72" s="86" t="str">
        <f>Southern!N14</f>
        <v>STH</v>
      </c>
      <c r="K72" s="86">
        <v>57</v>
      </c>
    </row>
    <row r="73" spans="1:11">
      <c r="A73" s="12">
        <f>Auckland!A15</f>
        <v>6</v>
      </c>
      <c r="B73" s="12" t="str">
        <f>Auckland!B15</f>
        <v>F</v>
      </c>
      <c r="C73" s="18" t="str">
        <f>Auckland!C15</f>
        <v>Riki</v>
      </c>
      <c r="D73" s="18" t="str">
        <f>Auckland!D15</f>
        <v>Dobbs</v>
      </c>
      <c r="E73" s="12">
        <f>Auckland!E15</f>
        <v>0</v>
      </c>
      <c r="F73" s="12">
        <f>Auckland!F15</f>
        <v>0</v>
      </c>
      <c r="G73" s="12">
        <f>Auckland!G15</f>
        <v>0</v>
      </c>
      <c r="H73" s="87">
        <f>Auckland!H15</f>
        <v>0</v>
      </c>
      <c r="I73" s="23">
        <f>Auckland!I15</f>
        <v>0</v>
      </c>
      <c r="J73" s="24" t="str">
        <f>Auckland!N15</f>
        <v>AKL</v>
      </c>
      <c r="K73" s="24">
        <v>58</v>
      </c>
    </row>
    <row r="74" spans="1:11">
      <c r="A74" s="83">
        <f>Southern!A15</f>
        <v>4</v>
      </c>
      <c r="B74" s="83" t="str">
        <f>Southern!B15</f>
        <v>D</v>
      </c>
      <c r="C74" s="84" t="str">
        <f>Southern!C15</f>
        <v>Max</v>
      </c>
      <c r="D74" s="84" t="str">
        <f>Southern!D15</f>
        <v>Hurring</v>
      </c>
      <c r="E74" s="83">
        <f>Southern!E15</f>
        <v>0</v>
      </c>
      <c r="F74" s="83">
        <f>Southern!F15</f>
        <v>0</v>
      </c>
      <c r="G74" s="83">
        <f>Southern!G15</f>
        <v>0</v>
      </c>
      <c r="H74" s="83">
        <f>Southern!H15</f>
        <v>0</v>
      </c>
      <c r="I74" s="85">
        <f>Southern!I15</f>
        <v>0</v>
      </c>
      <c r="J74" s="86" t="str">
        <f>Southern!N15</f>
        <v>STH</v>
      </c>
      <c r="K74" s="86">
        <v>59</v>
      </c>
    </row>
    <row r="75" spans="1:11">
      <c r="A75" s="12">
        <f>Auckland!A11</f>
        <v>22</v>
      </c>
      <c r="B75" s="12" t="str">
        <f>Auckland!B11</f>
        <v>D</v>
      </c>
      <c r="C75" s="18" t="str">
        <f>Auckland!C11</f>
        <v>Bruno</v>
      </c>
      <c r="D75" s="18" t="str">
        <f>Auckland!D11</f>
        <v>Green</v>
      </c>
      <c r="E75" s="12">
        <f>Auckland!E11</f>
        <v>0</v>
      </c>
      <c r="F75" s="12">
        <f>Auckland!F11</f>
        <v>0</v>
      </c>
      <c r="G75" s="12">
        <f>Auckland!G11</f>
        <v>0</v>
      </c>
      <c r="H75" s="87">
        <f>Auckland!H11</f>
        <v>0</v>
      </c>
      <c r="I75" s="23">
        <f>Auckland!I11</f>
        <v>0</v>
      </c>
      <c r="J75" s="24" t="str">
        <f>Auckland!N11</f>
        <v>AKL</v>
      </c>
      <c r="K75" s="24">
        <v>60</v>
      </c>
    </row>
    <row r="76" spans="1:11">
      <c r="A76" s="83">
        <f>Canterbury!A24</f>
        <v>0</v>
      </c>
      <c r="B76" s="83">
        <f>Canterbury!B24</f>
        <v>0</v>
      </c>
      <c r="C76" s="84" t="str">
        <f>Canterbury!C24</f>
        <v>Mick</v>
      </c>
      <c r="D76" s="84" t="str">
        <f>Canterbury!D24</f>
        <v>Latham</v>
      </c>
      <c r="E76" s="83">
        <f>Canterbury!E24</f>
        <v>0</v>
      </c>
      <c r="F76" s="83">
        <f>Canterbury!F24</f>
        <v>0</v>
      </c>
      <c r="G76" s="83">
        <f>Canterbury!G24</f>
        <v>0</v>
      </c>
      <c r="H76" s="83">
        <f>Canterbury!H24</f>
        <v>0</v>
      </c>
      <c r="I76" s="85">
        <f>Canterbury!I24</f>
        <v>0</v>
      </c>
      <c r="J76" s="86" t="str">
        <f>Canterbury!N24</f>
        <v>CANT</v>
      </c>
      <c r="K76" s="86">
        <v>61</v>
      </c>
    </row>
    <row r="77" spans="1:11">
      <c r="A77" s="12">
        <f>Canterbury!A26</f>
        <v>0</v>
      </c>
      <c r="B77" s="12">
        <f>Canterbury!B26</f>
        <v>0</v>
      </c>
      <c r="C77" s="18" t="str">
        <f>Canterbury!C26</f>
        <v>Patrick</v>
      </c>
      <c r="D77" s="18" t="str">
        <f>Canterbury!D26</f>
        <v>St John-Stewart</v>
      </c>
      <c r="E77" s="12">
        <f>Canterbury!E26</f>
        <v>0</v>
      </c>
      <c r="F77" s="12">
        <f>Canterbury!F26</f>
        <v>0</v>
      </c>
      <c r="G77" s="12">
        <f>Canterbury!G26</f>
        <v>0</v>
      </c>
      <c r="H77" s="87">
        <f>Canterbury!H26</f>
        <v>0</v>
      </c>
      <c r="I77" s="23">
        <f>Canterbury!I26</f>
        <v>0</v>
      </c>
      <c r="J77" s="24" t="str">
        <f>Canterbury!N26</f>
        <v>CANT</v>
      </c>
      <c r="K77" s="24">
        <v>62</v>
      </c>
    </row>
    <row r="78" spans="1:11">
      <c r="A78" s="83">
        <f>Southern!A22</f>
        <v>0</v>
      </c>
      <c r="B78" s="83" t="str">
        <f>Southern!B22</f>
        <v>D</v>
      </c>
      <c r="C78" s="84" t="str">
        <f>Southern!C22</f>
        <v>Harrison</v>
      </c>
      <c r="D78" s="84" t="str">
        <f>Southern!D22</f>
        <v>Mills</v>
      </c>
      <c r="E78" s="83">
        <f>Southern!E22</f>
        <v>0</v>
      </c>
      <c r="F78" s="83">
        <f>Southern!F22</f>
        <v>0</v>
      </c>
      <c r="G78" s="83">
        <f>Southern!G22</f>
        <v>0</v>
      </c>
      <c r="H78" s="83">
        <f>Southern!H22</f>
        <v>0</v>
      </c>
      <c r="I78" s="85">
        <f>Southern!I22</f>
        <v>0</v>
      </c>
      <c r="J78" s="86" t="str">
        <f>Southern!N22</f>
        <v>STH</v>
      </c>
      <c r="K78" s="86">
        <v>63</v>
      </c>
    </row>
    <row r="79" spans="1:11">
      <c r="A79" s="12">
        <f>Southern!A23</f>
        <v>0</v>
      </c>
      <c r="B79" s="12" t="str">
        <f>Southern!B23</f>
        <v>D</v>
      </c>
      <c r="C79" s="18" t="str">
        <f>Southern!C23</f>
        <v>Sam</v>
      </c>
      <c r="D79" s="18" t="str">
        <f>Southern!D23</f>
        <v>Barclay</v>
      </c>
      <c r="E79" s="12">
        <f>Southern!E23</f>
        <v>0</v>
      </c>
      <c r="F79" s="12">
        <f>Southern!F23</f>
        <v>0</v>
      </c>
      <c r="G79" s="12">
        <f>Southern!G23</f>
        <v>0</v>
      </c>
      <c r="H79" s="87">
        <f>Southern!H23</f>
        <v>0</v>
      </c>
      <c r="I79" s="23">
        <f>Southern!I23</f>
        <v>0</v>
      </c>
      <c r="J79" s="24" t="str">
        <f>Southern!N23</f>
        <v>STH</v>
      </c>
      <c r="K79" s="24">
        <v>64</v>
      </c>
    </row>
  </sheetData>
  <autoFilter ref="A15:K79">
    <sortState ref="A16:K78">
      <sortCondition ref="K15"/>
    </sortState>
  </autoFilter>
  <sortState ref="A16:J79">
    <sortCondition descending="1" ref="H16:H79"/>
    <sortCondition descending="1" ref="F16:F79"/>
    <sortCondition descending="1" ref="G16:G79"/>
    <sortCondition descending="1" ref="E16:E79"/>
  </sortState>
  <mergeCells count="1">
    <mergeCell ref="A13:J13"/>
  </mergeCells>
  <phoneticPr fontId="2" type="noConversion"/>
  <pageMargins left="0.11811023622047245" right="0.11811023622047245" top="0.74803149606299213" bottom="0.74803149606299213" header="0.51181102362204722" footer="0.51181102362204722"/>
  <pageSetup paperSize="9" scale="90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5:P34"/>
  <sheetViews>
    <sheetView topLeftCell="A6" workbookViewId="0">
      <selection activeCell="B28" sqref="B28"/>
    </sheetView>
  </sheetViews>
  <sheetFormatPr defaultColWidth="9.140625" defaultRowHeight="12.75"/>
  <cols>
    <col min="1" max="1" width="3.85546875" style="38" bestFit="1" customWidth="1"/>
    <col min="2" max="2" width="9.42578125" bestFit="1" customWidth="1"/>
    <col min="3" max="3" width="9.28515625" bestFit="1" customWidth="1"/>
    <col min="4" max="4" width="4.42578125" customWidth="1"/>
    <col min="5" max="5" width="4.7109375" customWidth="1"/>
    <col min="6" max="6" width="6" customWidth="1"/>
    <col min="7" max="7" width="7.42578125" customWidth="1"/>
    <col min="8" max="8" width="7.28515625" customWidth="1"/>
    <col min="9" max="9" width="5.5703125" customWidth="1"/>
    <col min="10" max="11" width="4.28515625" customWidth="1"/>
    <col min="12" max="12" width="4.28515625" style="38" customWidth="1"/>
    <col min="13" max="13" width="6.28515625" bestFit="1" customWidth="1"/>
    <col min="14" max="14" width="5.42578125" bestFit="1" customWidth="1"/>
    <col min="15" max="16" width="10.5703125" bestFit="1" customWidth="1"/>
  </cols>
  <sheetData>
    <row r="15" spans="1:13" ht="18">
      <c r="A15" s="93" t="s">
        <v>255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</row>
    <row r="16" spans="1:1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6">
      <c r="A17" s="16" t="s">
        <v>20</v>
      </c>
      <c r="B17" s="64" t="s">
        <v>64</v>
      </c>
      <c r="C17" s="64" t="s">
        <v>65</v>
      </c>
      <c r="D17" s="16" t="s">
        <v>11</v>
      </c>
      <c r="E17" s="16" t="s">
        <v>13</v>
      </c>
      <c r="F17" s="16" t="s">
        <v>31</v>
      </c>
      <c r="G17" s="16" t="s">
        <v>32</v>
      </c>
      <c r="H17" s="16" t="s">
        <v>33</v>
      </c>
      <c r="I17" s="16" t="s">
        <v>67</v>
      </c>
      <c r="J17" s="16" t="s">
        <v>34</v>
      </c>
      <c r="K17" s="16" t="s">
        <v>35</v>
      </c>
      <c r="L17" s="16" t="s">
        <v>36</v>
      </c>
      <c r="M17" s="16" t="s">
        <v>29</v>
      </c>
      <c r="N17" s="16" t="s">
        <v>39</v>
      </c>
      <c r="O17" s="16" t="s">
        <v>68</v>
      </c>
      <c r="P17" s="16"/>
    </row>
    <row r="18" spans="1:16">
      <c r="A18" s="12">
        <f>Southern!A30</f>
        <v>9</v>
      </c>
      <c r="B18" s="17" t="str">
        <f>Southern!C30</f>
        <v>Drew</v>
      </c>
      <c r="C18" s="17" t="str">
        <f>Southern!D30</f>
        <v>Kinney</v>
      </c>
      <c r="D18" s="12">
        <f>Southern!E30</f>
        <v>12</v>
      </c>
      <c r="E18" s="12">
        <f>Southern!F30</f>
        <v>39</v>
      </c>
      <c r="F18" s="12">
        <f>Southern!G30</f>
        <v>261</v>
      </c>
      <c r="G18" s="19">
        <f>Southern!H30</f>
        <v>85.057471264367805</v>
      </c>
      <c r="H18" s="19">
        <f>Southern!N30</f>
        <v>525.56999999999994</v>
      </c>
      <c r="I18" s="19">
        <f>Southern!O30</f>
        <v>3.710257434785091</v>
      </c>
      <c r="J18" s="12">
        <f>Southern!P30</f>
        <v>0</v>
      </c>
      <c r="K18" s="12">
        <f>Southern!Q30</f>
        <v>7</v>
      </c>
      <c r="L18" s="12">
        <f>Southern!R30</f>
        <v>1</v>
      </c>
      <c r="M18" s="12">
        <f>Southern!S30</f>
        <v>0</v>
      </c>
      <c r="N18" s="24" t="str">
        <f>Southern!U30</f>
        <v>STH</v>
      </c>
      <c r="O18" s="69">
        <f ca="1">Southern!V30</f>
        <v>0.8759499999999999</v>
      </c>
    </row>
    <row r="19" spans="1:16">
      <c r="A19" s="12">
        <f>Auckland!A30</f>
        <v>20</v>
      </c>
      <c r="B19" s="17" t="str">
        <f>Auckland!C30</f>
        <v>Cole</v>
      </c>
      <c r="C19" s="17" t="str">
        <f>Auckland!D30</f>
        <v>Kolisnyk</v>
      </c>
      <c r="D19" s="12">
        <f>Auckland!E30</f>
        <v>12</v>
      </c>
      <c r="E19" s="12">
        <f>Auckland!F30</f>
        <v>25</v>
      </c>
      <c r="F19" s="12">
        <f>Auckland!G30</f>
        <v>150</v>
      </c>
      <c r="G19" s="19">
        <f>ROUND(Auckland!H30,2)</f>
        <v>83.33</v>
      </c>
      <c r="H19" s="19">
        <f>Auckland!N30</f>
        <v>331.17</v>
      </c>
      <c r="I19" s="19">
        <f>Auckland!O30</f>
        <v>3.3970468339523507</v>
      </c>
      <c r="J19" s="12">
        <f>Auckland!P30</f>
        <v>0</v>
      </c>
      <c r="K19" s="12">
        <f>Auckland!Q30</f>
        <v>5</v>
      </c>
      <c r="L19" s="12">
        <f>Auckland!R30</f>
        <v>0</v>
      </c>
      <c r="M19" s="12">
        <f>Auckland!S30</f>
        <v>1</v>
      </c>
      <c r="N19" s="24" t="str">
        <f>Auckland!U30</f>
        <v>AKL</v>
      </c>
      <c r="O19" s="69">
        <f ca="1">Auckland!V30</f>
        <v>0.55195000000000005</v>
      </c>
    </row>
    <row r="20" spans="1:16">
      <c r="A20" s="12">
        <f>Auckland!A29</f>
        <v>1</v>
      </c>
      <c r="B20" s="18" t="str">
        <f>Auckland!C29</f>
        <v>Evan</v>
      </c>
      <c r="C20" s="17" t="str">
        <f>Auckland!D29</f>
        <v>Froger</v>
      </c>
      <c r="D20" s="12">
        <f>Auckland!E29</f>
        <v>12</v>
      </c>
      <c r="E20" s="12">
        <f>Auckland!F29</f>
        <v>26</v>
      </c>
      <c r="F20" s="12">
        <f>Auckland!G29</f>
        <v>140</v>
      </c>
      <c r="G20" s="19">
        <f>Auckland!H29</f>
        <v>81.428571428571431</v>
      </c>
      <c r="H20" s="19">
        <f>Auckland!N29</f>
        <v>264.40999999999997</v>
      </c>
      <c r="I20" s="19">
        <f>Auckland!O29</f>
        <v>4.4249461064256277</v>
      </c>
      <c r="J20" s="12">
        <f>Auckland!P29</f>
        <v>0</v>
      </c>
      <c r="K20" s="12">
        <f>Auckland!Q29</f>
        <v>5</v>
      </c>
      <c r="L20" s="12">
        <f>Auckland!R29</f>
        <v>3</v>
      </c>
      <c r="M20" s="12">
        <f>Auckland!S29</f>
        <v>0</v>
      </c>
      <c r="N20" s="24" t="str">
        <f>Auckland!U29</f>
        <v>AKL</v>
      </c>
      <c r="O20" s="69">
        <f ca="1">Auckland!V29</f>
        <v>0.44068333333333326</v>
      </c>
    </row>
    <row r="21" spans="1:16">
      <c r="A21" s="12">
        <f>Canterbury!A33</f>
        <v>1</v>
      </c>
      <c r="B21" s="18" t="str">
        <f>Canterbury!C33</f>
        <v xml:space="preserve">Taylor </v>
      </c>
      <c r="C21" s="17" t="str">
        <f>Canterbury!D33</f>
        <v>Goodall</v>
      </c>
      <c r="D21" s="12">
        <f>Canterbury!E33</f>
        <v>12</v>
      </c>
      <c r="E21" s="12">
        <f>Canterbury!F33</f>
        <v>40</v>
      </c>
      <c r="F21" s="12">
        <f>Canterbury!G33</f>
        <v>205</v>
      </c>
      <c r="G21" s="19">
        <f>Canterbury!H33</f>
        <v>80.487804878048792</v>
      </c>
      <c r="H21" s="19">
        <f>Canterbury!N33</f>
        <v>284.41999999999996</v>
      </c>
      <c r="I21" s="19">
        <f>Canterbury!O33</f>
        <v>7.0318542999789058</v>
      </c>
      <c r="J21" s="12">
        <f>Canterbury!P33</f>
        <v>0</v>
      </c>
      <c r="K21" s="12">
        <f>Canterbury!Q33</f>
        <v>0</v>
      </c>
      <c r="L21" s="12">
        <f>Canterbury!R33</f>
        <v>7</v>
      </c>
      <c r="M21" s="12">
        <f>Canterbury!S33</f>
        <v>0</v>
      </c>
      <c r="N21" s="24" t="str">
        <f>Canterbury!T33</f>
        <v>CANT</v>
      </c>
      <c r="O21" s="69">
        <f ca="1">Canterbury!U33</f>
        <v>0.47403333333333325</v>
      </c>
    </row>
    <row r="22" spans="1:16">
      <c r="A22" s="12">
        <f>Canterbury!A34</f>
        <v>30</v>
      </c>
      <c r="B22" s="18" t="str">
        <f>Canterbury!C34</f>
        <v>Hannah</v>
      </c>
      <c r="C22" s="17" t="str">
        <f>Canterbury!D34</f>
        <v>Lawson</v>
      </c>
      <c r="D22" s="12">
        <f>Canterbury!E34</f>
        <v>12</v>
      </c>
      <c r="E22" s="12">
        <f>Canterbury!F34</f>
        <v>50</v>
      </c>
      <c r="F22" s="12">
        <f>Canterbury!G34</f>
        <v>200</v>
      </c>
      <c r="G22" s="19">
        <f>Canterbury!H34</f>
        <v>75</v>
      </c>
      <c r="H22" s="19">
        <f>Canterbury!N34</f>
        <v>315.06000000000006</v>
      </c>
      <c r="I22" s="19">
        <f>Canterbury!O34</f>
        <v>7.9349965086015342</v>
      </c>
      <c r="J22" s="12">
        <f>Canterbury!P34</f>
        <v>0</v>
      </c>
      <c r="K22" s="12">
        <f>Canterbury!Q34</f>
        <v>0</v>
      </c>
      <c r="L22" s="12">
        <f>Canterbury!R34</f>
        <v>5</v>
      </c>
      <c r="M22" s="12">
        <f>Canterbury!S34</f>
        <v>0</v>
      </c>
      <c r="N22" s="24" t="str">
        <f>Canterbury!T34</f>
        <v>CANT</v>
      </c>
      <c r="O22" s="69">
        <f ca="1">Canterbury!U34</f>
        <v>0.52510000000000012</v>
      </c>
    </row>
    <row r="23" spans="1:16">
      <c r="A23" s="12">
        <f>Southern!A29</f>
        <v>1</v>
      </c>
      <c r="B23" s="17" t="str">
        <f>Southern!C29</f>
        <v>James</v>
      </c>
      <c r="C23" s="17" t="str">
        <f>Southern!D29</f>
        <v>Moore</v>
      </c>
      <c r="D23" s="12">
        <f>Southern!E29</f>
        <v>12</v>
      </c>
      <c r="E23" s="12">
        <f>Southern!F29</f>
        <v>12</v>
      </c>
      <c r="F23" s="12">
        <f>Southern!G29</f>
        <v>50</v>
      </c>
      <c r="G23" s="19">
        <f>ROUND(Southern!H29,2)</f>
        <v>76</v>
      </c>
      <c r="H23" s="19">
        <f>Southern!N29</f>
        <v>73.430000000000007</v>
      </c>
      <c r="I23" s="19">
        <f>Southern!O29</f>
        <v>8.1710472558899632</v>
      </c>
      <c r="J23" s="12">
        <f>Southern!P29</f>
        <v>0</v>
      </c>
      <c r="K23" s="12">
        <f>Southern!Q29</f>
        <v>2</v>
      </c>
      <c r="L23" s="12">
        <f>Southern!R29</f>
        <v>1</v>
      </c>
      <c r="M23" s="12">
        <f>Southern!S29</f>
        <v>0</v>
      </c>
      <c r="N23" s="24" t="str">
        <f>Southern!U29</f>
        <v>STH</v>
      </c>
      <c r="O23" s="69">
        <f ca="1">Southern!V29</f>
        <v>0.12238333333333334</v>
      </c>
    </row>
    <row r="24" spans="1:16">
      <c r="A24" s="12">
        <f>Southern!A31</f>
        <v>0</v>
      </c>
      <c r="B24" s="17">
        <f>Southern!C31</f>
        <v>0</v>
      </c>
      <c r="C24" s="17">
        <f>Southern!D31</f>
        <v>0</v>
      </c>
      <c r="D24" s="12">
        <f>Southern!E31</f>
        <v>0</v>
      </c>
      <c r="E24" s="12">
        <f>Southern!F31</f>
        <v>0</v>
      </c>
      <c r="F24" s="12">
        <f>Southern!G31</f>
        <v>0</v>
      </c>
      <c r="G24" s="19">
        <f>Southern!H31</f>
        <v>0</v>
      </c>
      <c r="H24" s="19">
        <f>Southern!N31</f>
        <v>0</v>
      </c>
      <c r="I24" s="19">
        <f>Southern!O31</f>
        <v>0</v>
      </c>
      <c r="J24" s="12">
        <f>Southern!P31</f>
        <v>0</v>
      </c>
      <c r="K24" s="12">
        <f>Southern!Q31</f>
        <v>0</v>
      </c>
      <c r="L24" s="12">
        <f>Southern!R31</f>
        <v>0</v>
      </c>
      <c r="M24" s="12">
        <f>Southern!S31</f>
        <v>0</v>
      </c>
      <c r="N24" s="24">
        <f>Southern!U31</f>
        <v>0</v>
      </c>
      <c r="O24" s="69">
        <f ca="1">Southern!V31</f>
        <v>0</v>
      </c>
    </row>
    <row r="25" spans="1:16">
      <c r="A25" s="12">
        <f>Canterbury!A35</f>
        <v>0</v>
      </c>
      <c r="B25" s="18">
        <f>Canterbury!C35</f>
        <v>0</v>
      </c>
      <c r="C25" s="17">
        <f>Canterbury!D35</f>
        <v>0</v>
      </c>
      <c r="D25" s="12">
        <f>Canterbury!E35</f>
        <v>0</v>
      </c>
      <c r="E25" s="12">
        <f>Canterbury!F35</f>
        <v>0</v>
      </c>
      <c r="F25" s="12">
        <f>Canterbury!G35</f>
        <v>0</v>
      </c>
      <c r="G25" s="19">
        <f>ROUND(Canterbury!H35,2)</f>
        <v>0</v>
      </c>
      <c r="H25" s="19">
        <f>Canterbury!N35</f>
        <v>0</v>
      </c>
      <c r="I25" s="19">
        <f>Canterbury!O35</f>
        <v>0</v>
      </c>
      <c r="J25" s="12">
        <f>Canterbury!P35</f>
        <v>0</v>
      </c>
      <c r="K25" s="12">
        <f>Canterbury!Q35</f>
        <v>0</v>
      </c>
      <c r="L25" s="12">
        <f>Canterbury!R35</f>
        <v>0</v>
      </c>
      <c r="M25" s="12">
        <f>Canterbury!S35</f>
        <v>0</v>
      </c>
      <c r="N25" s="24">
        <f>Canterbury!T35</f>
        <v>0</v>
      </c>
      <c r="O25" s="69">
        <f>Canterbury!U35</f>
        <v>0</v>
      </c>
    </row>
    <row r="26" spans="1:16">
      <c r="A26" s="12">
        <f>Auckland!A31</f>
        <v>21</v>
      </c>
      <c r="B26" s="17" t="str">
        <f>Auckland!C31</f>
        <v>Finn</v>
      </c>
      <c r="C26" s="17" t="str">
        <f>Auckland!D31</f>
        <v>Robertson</v>
      </c>
      <c r="D26" s="12">
        <f>Auckland!E31</f>
        <v>0</v>
      </c>
      <c r="E26" s="12">
        <f>Auckland!F31</f>
        <v>0</v>
      </c>
      <c r="F26" s="12">
        <f>Auckland!G31</f>
        <v>0</v>
      </c>
      <c r="G26" s="19">
        <f>Auckland!H31</f>
        <v>0</v>
      </c>
      <c r="H26" s="19">
        <f>Auckland!N31</f>
        <v>0</v>
      </c>
      <c r="I26" s="19">
        <f>Auckland!O31</f>
        <v>0</v>
      </c>
      <c r="J26" s="12">
        <f>Auckland!P31</f>
        <v>0</v>
      </c>
      <c r="K26" s="12">
        <f>Auckland!Q31</f>
        <v>0</v>
      </c>
      <c r="L26" s="12">
        <f>Auckland!R31</f>
        <v>0</v>
      </c>
      <c r="M26" s="12">
        <f>Auckland!S31</f>
        <v>0</v>
      </c>
      <c r="N26" s="24" t="str">
        <f>Auckland!U31</f>
        <v>AKL</v>
      </c>
      <c r="O26" s="69">
        <f ca="1">Auckland!V31</f>
        <v>0</v>
      </c>
    </row>
    <row r="27" spans="1:16">
      <c r="A27" s="9"/>
      <c r="B27" s="10"/>
      <c r="C27" s="10"/>
      <c r="D27" s="9"/>
      <c r="E27" s="9"/>
      <c r="F27" s="9"/>
      <c r="G27" s="25"/>
      <c r="H27" s="25"/>
      <c r="I27" s="25"/>
      <c r="J27" s="9"/>
      <c r="K27" s="9"/>
      <c r="L27" s="9"/>
      <c r="M27" s="9"/>
      <c r="N27" s="9"/>
    </row>
    <row r="28" spans="1:16">
      <c r="D28" s="2" t="s">
        <v>42</v>
      </c>
      <c r="I28" s="1"/>
    </row>
    <row r="29" spans="1:16">
      <c r="D29" s="2" t="s">
        <v>43</v>
      </c>
      <c r="I29" s="1"/>
    </row>
    <row r="30" spans="1:16">
      <c r="D30" s="2" t="s">
        <v>44</v>
      </c>
      <c r="I30" s="1"/>
    </row>
    <row r="31" spans="1:16">
      <c r="D31" s="2" t="s">
        <v>45</v>
      </c>
      <c r="I31" s="1"/>
    </row>
    <row r="32" spans="1:16">
      <c r="I32" s="1"/>
    </row>
    <row r="33" spans="2:9">
      <c r="B33" s="70" t="s">
        <v>69</v>
      </c>
      <c r="I33" s="1"/>
    </row>
    <row r="34" spans="2:9">
      <c r="I34" s="1"/>
    </row>
  </sheetData>
  <autoFilter ref="A17:O17"/>
  <sortState ref="A18:O22">
    <sortCondition descending="1" ref="G18:G22"/>
  </sortState>
  <mergeCells count="1">
    <mergeCell ref="A15:M15"/>
  </mergeCells>
  <phoneticPr fontId="2" type="noConversion"/>
  <conditionalFormatting sqref="O18:O26">
    <cfRule type="cellIs" dxfId="0" priority="2" stopIfTrue="1" operator="lessThan">
      <formula>0.4</formula>
    </cfRule>
  </conditionalFormatting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Results + Standings</vt:lpstr>
      <vt:lpstr>Canterbury</vt:lpstr>
      <vt:lpstr>Southern</vt:lpstr>
      <vt:lpstr>Auckland</vt:lpstr>
      <vt:lpstr>Players Stats </vt:lpstr>
      <vt:lpstr>Goalie Stats</vt:lpstr>
      <vt:lpstr>WadeBSW</vt:lpstr>
      <vt:lpstr>WadedEBSW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Birgel (FB)</dc:creator>
  <cp:lastModifiedBy>Andreas Kaisser</cp:lastModifiedBy>
  <cp:lastPrinted>2013-09-15T08:37:46Z</cp:lastPrinted>
  <dcterms:created xsi:type="dcterms:W3CDTF">2009-06-24T03:48:30Z</dcterms:created>
  <dcterms:modified xsi:type="dcterms:W3CDTF">2013-09-15T23:19:11Z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-592428247</vt:i4>
  </property>
  <property fmtid="{D5CDD505-2E9C-101B-9397-08002B2CF9AE}" pid="3" name="_EmailSubject">
    <vt:lpwstr>NZJEL stats</vt:lpwstr>
  </property>
  <property fmtid="{D5CDD505-2E9C-101B-9397-08002B2CF9AE}" pid="4" name="_AuthorEmail">
    <vt:lpwstr>andreas.kaisser@vodafone.co.nz</vt:lpwstr>
  </property>
  <property fmtid="{D5CDD505-2E9C-101B-9397-08002B2CF9AE}" pid="5" name="_AuthorEmailDisplayName">
    <vt:lpwstr>Andreas Kaisser</vt:lpwstr>
  </property>
  <property fmtid="{D5CDD505-2E9C-101B-9397-08002B2CF9AE}" pid="6" name="_ReviewingToolsShownOnce">
    <vt:lpwstr/>
  </property>
</Properties>
</file>